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580" windowHeight="6240"/>
  </bookViews>
  <sheets>
    <sheet name="CUSTOS" sheetId="4" r:id="rId1"/>
    <sheet name="Plan1" sheetId="5" r:id="rId2"/>
  </sheets>
  <definedNames>
    <definedName name="_xlnm.Print_Area" localSheetId="0">CUSTOS!$A$2:$I$72</definedName>
  </definedNames>
  <calcPr calcId="125725"/>
</workbook>
</file>

<file path=xl/calcChain.xml><?xml version="1.0" encoding="utf-8"?>
<calcChain xmlns="http://schemas.openxmlformats.org/spreadsheetml/2006/main">
  <c r="T58" i="4"/>
  <c r="H64"/>
  <c r="I64"/>
  <c r="G64"/>
  <c r="G15" i="5"/>
  <c r="W41" s="1"/>
  <c r="G59" i="4"/>
  <c r="Q59"/>
  <c r="G88"/>
  <c r="H96" s="1"/>
  <c r="H30"/>
  <c r="G29"/>
  <c r="H28"/>
  <c r="G61"/>
  <c r="H94"/>
  <c r="I61"/>
  <c r="G58"/>
  <c r="G63"/>
  <c r="H95"/>
  <c r="I63"/>
  <c r="K8"/>
  <c r="L8"/>
  <c r="L12"/>
  <c r="K5"/>
  <c r="L5"/>
  <c r="K11"/>
  <c r="H49"/>
  <c r="K6"/>
  <c r="G60"/>
  <c r="I60"/>
  <c r="F58"/>
  <c r="F56"/>
  <c r="F32"/>
  <c r="F33"/>
  <c r="F39"/>
  <c r="F37"/>
  <c r="G62"/>
  <c r="I62"/>
  <c r="F88"/>
  <c r="F91"/>
  <c r="F92"/>
  <c r="F93"/>
  <c r="F94"/>
  <c r="F95"/>
  <c r="F60"/>
  <c r="H60"/>
  <c r="G65"/>
  <c r="I65"/>
  <c r="I66"/>
  <c r="A77"/>
  <c r="F59"/>
  <c r="H65"/>
  <c r="H66"/>
  <c r="H68"/>
  <c r="H69"/>
  <c r="H71"/>
  <c r="E22" i="5"/>
  <c r="E23"/>
  <c r="C7"/>
  <c r="C8"/>
  <c r="C9"/>
  <c r="C10"/>
  <c r="R15"/>
  <c r="P63" i="4"/>
  <c r="M5"/>
  <c r="I58"/>
  <c r="H91"/>
  <c r="F42"/>
  <c r="F45"/>
  <c r="F47"/>
  <c r="F48"/>
  <c r="F46"/>
  <c r="K12"/>
  <c r="A73"/>
  <c r="M6"/>
  <c r="M12"/>
  <c r="H50"/>
  <c r="H35"/>
  <c r="A23"/>
  <c r="G44"/>
  <c r="G43"/>
  <c r="W43" i="5"/>
  <c r="W40"/>
  <c r="H33" i="4" l="1"/>
  <c r="G35"/>
  <c r="W44" i="5"/>
  <c r="H29" i="4"/>
  <c r="H31" s="1"/>
  <c r="W42" i="5"/>
  <c r="X44" s="1"/>
  <c r="E16" s="1"/>
  <c r="H90" i="4" s="1"/>
  <c r="G24" i="5"/>
  <c r="G31" i="4" l="1"/>
  <c r="H36"/>
  <c r="G36" s="1"/>
  <c r="H32"/>
  <c r="G56"/>
  <c r="I56" s="1"/>
  <c r="G89"/>
  <c r="E34"/>
  <c r="H34" s="1"/>
  <c r="G34" s="1"/>
  <c r="F40" s="1"/>
  <c r="Q10" i="5"/>
  <c r="R10" s="1"/>
  <c r="Q6"/>
  <c r="Q9"/>
  <c r="R9" s="1"/>
  <c r="Q8"/>
  <c r="R8" s="1"/>
  <c r="Q7"/>
  <c r="R7" s="1"/>
  <c r="R25" s="1"/>
  <c r="G26" s="1"/>
  <c r="H93" i="4" s="1"/>
  <c r="R59" l="1"/>
  <c r="G48"/>
  <c r="F38"/>
  <c r="G46"/>
  <c r="G45"/>
  <c r="G47"/>
  <c r="G42"/>
  <c r="G35" i="5"/>
  <c r="H48" i="4" l="1"/>
  <c r="F41"/>
  <c r="G41" s="1"/>
  <c r="H41" s="1"/>
  <c r="H51" s="1"/>
  <c r="I59"/>
  <c r="S59"/>
  <c r="H92" s="1"/>
  <c r="H97" s="1"/>
  <c r="I97" s="1"/>
  <c r="I57" l="1"/>
  <c r="I67" s="1"/>
  <c r="G51"/>
  <c r="I69" l="1"/>
  <c r="I68"/>
  <c r="I70" l="1"/>
  <c r="I71" s="1"/>
  <c r="I72" l="1"/>
  <c r="G72" s="1"/>
  <c r="F77" s="1"/>
  <c r="F82" s="1"/>
  <c r="I82" s="1"/>
</calcChain>
</file>

<file path=xl/comments1.xml><?xml version="1.0" encoding="utf-8"?>
<comments xmlns="http://schemas.openxmlformats.org/spreadsheetml/2006/main">
  <authors>
    <author>R.Beraguas</author>
    <author>A2</author>
    <author>Ricardo</author>
  </authors>
  <commentList>
    <comment ref="A5" authorId="0">
      <text>
        <r>
          <rPr>
            <b/>
            <sz val="8"/>
            <color indexed="81"/>
            <rFont val="Tahoma"/>
            <charset val="1"/>
          </rPr>
          <t xml:space="preserve">Faça um relatório destes para cada grupo de funcionários.
O que importa é o salário base.
A idéia para o bom funcionamento desta planilha é calcular para casos similares.
</t>
        </r>
      </text>
    </comment>
    <comment ref="A6" authorId="1">
      <text>
        <r>
          <rPr>
            <b/>
            <sz val="8"/>
            <color indexed="81"/>
            <rFont val="Tahoma"/>
            <charset val="1"/>
          </rPr>
          <t xml:space="preserve">se superior a 01 ano, coloque 12
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 xml:space="preserve">          </t>
        </r>
        <r>
          <rPr>
            <b/>
            <sz val="11"/>
            <color indexed="10"/>
            <rFont val="Tahoma"/>
            <family val="2"/>
          </rPr>
          <t>ATENÇÃO</t>
        </r>
        <r>
          <rPr>
            <b/>
            <sz val="8"/>
            <color indexed="81"/>
            <rFont val="Tahoma"/>
            <charset val="1"/>
          </rPr>
          <t xml:space="preserve">
Descreva aqui o valor do salário de apenas 01 funcionário
</t>
        </r>
      </text>
    </comment>
    <comment ref="A11" authorId="0">
      <text>
        <r>
          <rPr>
            <b/>
            <sz val="8"/>
            <color indexed="81"/>
            <rFont val="Tahoma"/>
            <charset val="1"/>
          </rPr>
          <t xml:space="preserve">Coloque o valor que se dispõe a pagar de vale transporte, em média.
Não se preocupe com os descontos e as desistências
</t>
        </r>
      </text>
    </comment>
    <comment ref="A12" authorId="2">
      <text>
        <r>
          <rPr>
            <b/>
            <sz val="8"/>
            <color indexed="81"/>
            <rFont val="Tahoma"/>
          </rPr>
          <t>Ao fornecer vale refeição, coloque o unitário neste campo e anote os descontos ao final.</t>
        </r>
      </text>
    </comment>
    <comment ref="A13" authorId="1">
      <text>
        <r>
          <rPr>
            <b/>
            <sz val="8"/>
            <color indexed="81"/>
            <rFont val="Tahoma"/>
            <charset val="1"/>
          </rPr>
          <t xml:space="preserve">Insira aqui o custo que a organização tem ou terá com o PCMSO. 
Se preferir pode colocar zero
</t>
        </r>
      </text>
    </comment>
    <comment ref="A14" authorId="1">
      <text>
        <r>
          <rPr>
            <b/>
            <sz val="8"/>
            <color indexed="81"/>
            <rFont val="Tahoma"/>
            <charset val="1"/>
          </rPr>
          <t xml:space="preserve">Caso forneça assistência médica, coloque o custo per-capta neste campo. Se não der este benefício pode colocar zeros
</t>
        </r>
      </text>
    </comment>
    <comment ref="A15" authorId="1">
      <text>
        <r>
          <rPr>
            <b/>
            <sz val="8"/>
            <color indexed="81"/>
            <rFont val="Tahoma"/>
            <charset val="1"/>
          </rPr>
          <t>Insira o valor da cesta básica que a organização estiver obrigada a fornecer. Caso não esteja, coloque zero</t>
        </r>
      </text>
    </comment>
    <comment ref="A16" authorId="1">
      <text>
        <r>
          <rPr>
            <b/>
            <sz val="8"/>
            <color indexed="81"/>
            <rFont val="Tahoma"/>
            <charset val="1"/>
          </rPr>
          <t xml:space="preserve">As organizações que são obrigadas a fornecer apólice de seguro de vida podem preencher esta lacuna
</t>
        </r>
      </text>
    </comment>
    <comment ref="A18" authorId="1">
      <text>
        <r>
          <rPr>
            <b/>
            <sz val="8"/>
            <color indexed="81"/>
            <rFont val="Tahoma"/>
            <charset val="1"/>
          </rPr>
          <t xml:space="preserve">Aqui neste campo está destinado ao custo de processamento, gasto com formulários do tipo: holerites, folhas, guias de impostos, registros, processameto de dados e distribuição.
Não está incluso o custo bancário 
</t>
        </r>
      </text>
    </comment>
    <comment ref="B20" authorId="2">
      <text>
        <r>
          <rPr>
            <b/>
            <sz val="8"/>
            <color indexed="81"/>
            <rFont val="Tahoma"/>
          </rPr>
          <t xml:space="preserve">COLOQUE SIM OU NÃO
Lembre-se:
Somente poderá ter uma resposta SIM </t>
        </r>
      </text>
    </comment>
    <comment ref="A36" authorId="1">
      <text>
        <r>
          <rPr>
            <b/>
            <sz val="8"/>
            <color indexed="81"/>
            <rFont val="Tahoma"/>
            <charset val="1"/>
          </rPr>
          <t>Reflexo do aviso prévio nas férias e 13o. Salário por ocasião da rescisão</t>
        </r>
      </text>
    </comment>
    <comment ref="E43" authorId="1">
      <text>
        <r>
          <rPr>
            <b/>
            <sz val="8"/>
            <color indexed="81"/>
            <rFont val="Tahoma"/>
            <charset val="1"/>
          </rPr>
          <t xml:space="preserve">As alíquotas do SAT variam de 1% a 15% em função do exercício dos cargos, do local, da organização.
</t>
        </r>
      </text>
    </comment>
    <comment ref="E44" authorId="1">
      <text>
        <r>
          <rPr>
            <b/>
            <sz val="8"/>
            <color indexed="81"/>
            <rFont val="Tahoma"/>
            <charset val="1"/>
          </rPr>
          <t xml:space="preserve">Algumas organizações tem esta alíquota reduzida.
</t>
        </r>
      </text>
    </comment>
    <comment ref="G49" authorId="1">
      <text>
        <r>
          <rPr>
            <b/>
            <sz val="8"/>
            <color indexed="81"/>
            <rFont val="Tahoma"/>
          </rPr>
          <t xml:space="preserve">Associações, fundações, Sindicatos, Oscips, recolhem 1% da folha de salários a título de PIS.
</t>
        </r>
      </text>
    </comment>
    <comment ref="A50" authorId="1">
      <text>
        <r>
          <rPr>
            <b/>
            <sz val="8"/>
            <color indexed="81"/>
            <rFont val="Tahoma"/>
            <charset val="1"/>
          </rPr>
          <t>Proibido no caso de instituições sem fins lucrativos.</t>
        </r>
      </text>
    </comment>
    <comment ref="H58" authorId="2">
      <text>
        <r>
          <rPr>
            <b/>
            <sz val="8"/>
            <color indexed="81"/>
            <rFont val="Tahoma"/>
          </rPr>
          <t>Coloque o percentual que pretende descontar dos salários referente ao vale refeição, limitado a 20%</t>
        </r>
      </text>
    </comment>
    <comment ref="H59" authorId="2">
      <text>
        <r>
          <rPr>
            <b/>
            <sz val="8"/>
            <color indexed="81"/>
            <rFont val="Tahoma"/>
          </rPr>
          <t>Coloque o valor que se pretende descontar dos Vales Transporte, limitado a 6%</t>
        </r>
      </text>
    </comment>
    <comment ref="A69" authorId="1">
      <text>
        <r>
          <rPr>
            <b/>
            <sz val="8"/>
            <color indexed="81"/>
            <rFont val="Tahoma"/>
            <charset val="1"/>
          </rPr>
          <t xml:space="preserve">Nas relações trabalhistas, sempre existirão contingências que precisarão ser cobertas, pagas, indenizadas ou gastas.
Serviços advocatícios, entre outros.
</t>
        </r>
      </text>
    </comment>
  </commentList>
</comments>
</file>

<file path=xl/sharedStrings.xml><?xml version="1.0" encoding="utf-8"?>
<sst xmlns="http://schemas.openxmlformats.org/spreadsheetml/2006/main" count="153" uniqueCount="136">
  <si>
    <t xml:space="preserve">ABERTURA DOS CUSTOS TRABALHISTAS </t>
  </si>
  <si>
    <t>ITENS</t>
  </si>
  <si>
    <t>segundo A2 Office</t>
  </si>
  <si>
    <t>Salário</t>
  </si>
  <si>
    <t>Adicional de 1/3 de férias</t>
  </si>
  <si>
    <t>FGTS</t>
  </si>
  <si>
    <t>FGTS s/ 13o. Salário</t>
  </si>
  <si>
    <t>FGTS s/ férias e adicional</t>
  </si>
  <si>
    <t>FGTS s/ aviso prévio e outras verbas</t>
  </si>
  <si>
    <t>Previdência social</t>
  </si>
  <si>
    <t>SAT (Seguro Acidentes de Trabalho)</t>
  </si>
  <si>
    <t>Salário Educação</t>
  </si>
  <si>
    <t>Incra</t>
  </si>
  <si>
    <t>Sebrae</t>
  </si>
  <si>
    <t>R$</t>
  </si>
  <si>
    <t>VALE ALIMENTAÇÃO</t>
  </si>
  <si>
    <t>QUANT.</t>
  </si>
  <si>
    <t>CUSTO UNIT</t>
  </si>
  <si>
    <t>ITEM</t>
  </si>
  <si>
    <t>EXAME MÉDICO OCUPACIONAL NR/PCMSO - PPP</t>
  </si>
  <si>
    <t>CESTA BÁSICA</t>
  </si>
  <si>
    <t>PIS s/ FOLHA DE SALÁRIOS</t>
  </si>
  <si>
    <t>TOTAL GERAL DO CONTRATO - I</t>
  </si>
  <si>
    <t>TOTAL GERAL DO CONTRATO - II</t>
  </si>
  <si>
    <t>SUB TOTAL DOS GASTOS</t>
  </si>
  <si>
    <t>Quantidade de funcionários que comporão a folha de salários</t>
  </si>
  <si>
    <t>valor do vale transporte que a organização se dispõe a pagar "per capta/dia"</t>
  </si>
  <si>
    <t>valor do vale refeição que será fornecido "per capta/dia"</t>
  </si>
  <si>
    <t>Custo do PCMSO (mensal)</t>
  </si>
  <si>
    <t>Valor da Assistência Médica fornecida</t>
  </si>
  <si>
    <t>Custo de Cesta Básica</t>
  </si>
  <si>
    <t>Seguro de Vida em Grupo</t>
  </si>
  <si>
    <t>ASSISTÊNCIA MÉDICA</t>
  </si>
  <si>
    <t>SEGURO DE VIDA EM GRUPO</t>
  </si>
  <si>
    <t>Custo unitário de processamento de dados e emissão de folha</t>
  </si>
  <si>
    <t>PLANILHA ANALITICA DOS CUSTOS DIRETOS</t>
  </si>
  <si>
    <t>CUSTOS TOTAIS DIRETOS E INDIRETOS</t>
  </si>
  <si>
    <t>ENCARGOS BÁSICOS DIRETOS (mapa acima)</t>
  </si>
  <si>
    <t>percentual de gestão da mão de obra (quando for o caso)</t>
  </si>
  <si>
    <t>ISS RELATIVO EMISSÃO DE NOTA DE TERCEIRIZAÇÃO</t>
  </si>
  <si>
    <t>Salário mensal pago por funcionário</t>
  </si>
  <si>
    <t>SENAC ou SENAI ou SENAT</t>
  </si>
  <si>
    <t>SESC ou SESI ou SEST</t>
  </si>
  <si>
    <r>
      <t>Custo Salarial - itens incidentes sobre a folha de pagamento como proporção do salário contratual (</t>
    </r>
    <r>
      <rPr>
        <sz val="8"/>
        <color indexed="10"/>
        <rFont val="Verdana"/>
        <family val="2"/>
      </rPr>
      <t>preencha o quadro abaixo para obter o resultado - itens em verde</t>
    </r>
    <r>
      <rPr>
        <sz val="8"/>
        <rFont val="Verdana"/>
        <family val="2"/>
      </rPr>
      <t>)</t>
    </r>
  </si>
  <si>
    <t>SALÁRIO MENSAL BÁSICO</t>
  </si>
  <si>
    <t>Prazo de duraçao do contrato de trabalho (em meses)</t>
  </si>
  <si>
    <t>Aviso prévio</t>
  </si>
  <si>
    <t>Indenização rescisória (reflexo indenizatório)</t>
  </si>
  <si>
    <t>Verba para contingências e contenciosos</t>
  </si>
  <si>
    <t>Proc.de dados/Impressão de documentos/ burocracia</t>
  </si>
  <si>
    <t>descontos</t>
  </si>
  <si>
    <t>TOTAL LIQ</t>
  </si>
  <si>
    <t xml:space="preserve">VALE TRANSPORTE </t>
  </si>
  <si>
    <t>DIAS</t>
  </si>
  <si>
    <t>Hora Atividade</t>
  </si>
  <si>
    <t>Outra Verba tributável</t>
  </si>
  <si>
    <t>PLR - Participação nos lucros por cláusula sindical</t>
  </si>
  <si>
    <t>Empresa inscrita no Simples?</t>
  </si>
  <si>
    <t>RESPONDA ABAIXO, QUAL TIPO DE PESSOA JURÍDICA QUE ESTÁ CONTRATANDO</t>
  </si>
  <si>
    <t>OSCIP</t>
  </si>
  <si>
    <t>ESTA RESPOSTA ALTERARÁ OS CÁLCULOS DOS IMPOSTOS TRABALHISTAS.</t>
  </si>
  <si>
    <t>SIMPLES</t>
  </si>
  <si>
    <t>NORMAL</t>
  </si>
  <si>
    <t>UPF</t>
  </si>
  <si>
    <t>SOMA</t>
  </si>
  <si>
    <t>Previdência</t>
  </si>
  <si>
    <t>PLR</t>
  </si>
  <si>
    <t>Associação Filantrópica, Templos</t>
  </si>
  <si>
    <r>
      <t xml:space="preserve">Se você considerar que quando for dispensar este empregado, ele cumprirá aviso prévio responda </t>
    </r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, se você considerar que deverá ser indenizado, ou seja, quando precisar mandá-lo embora, ele deverá desligar-se imediatamente sem cumprimento dos 30 dias de aviso, então responda </t>
    </r>
    <r>
      <rPr>
        <b/>
        <sz val="8"/>
        <rFont val="Verdana"/>
        <family val="2"/>
      </rPr>
      <t>2</t>
    </r>
  </si>
  <si>
    <r>
      <t xml:space="preserve">Empresa Normal - </t>
    </r>
    <r>
      <rPr>
        <b/>
        <sz val="8"/>
        <color indexed="10"/>
        <rFont val="Verdana"/>
        <family val="2"/>
      </rPr>
      <t xml:space="preserve">NÃO </t>
    </r>
    <r>
      <rPr>
        <sz val="8"/>
        <color indexed="10"/>
        <rFont val="Verdana"/>
        <family val="2"/>
      </rPr>
      <t>inscrita no Simples</t>
    </r>
  </si>
  <si>
    <t>ONG - OSCIP - CLUBE - ASSOCIAÇÃO - FUNDAÇÕES</t>
  </si>
  <si>
    <t>CUSTOS NÃO INSERIDOS NO PROCESSO</t>
  </si>
  <si>
    <t>Repouso Semanal Remunerado</t>
  </si>
  <si>
    <t xml:space="preserve">Feriados </t>
  </si>
  <si>
    <t>Auxílio Doença Previdenciário/Acidentário</t>
  </si>
  <si>
    <t>Licença Paternidade</t>
  </si>
  <si>
    <t>TOTAL GERAL - III</t>
  </si>
  <si>
    <t>Estes itens não foram integrados a tabela principal por considerarmos que trata-se de um custo comum à sociedade brasileira.</t>
  </si>
  <si>
    <t>Custo total final ---------------&gt;&gt;</t>
  </si>
  <si>
    <t>TABELA DO IMPOSTO DE RENDA NA FONTE</t>
  </si>
  <si>
    <t>AUTOMÁTICA</t>
  </si>
  <si>
    <t>SE(E(1&lt;B4; B4&lt;100); B4;</t>
  </si>
  <si>
    <t>ATÉ</t>
  </si>
  <si>
    <t>isento</t>
  </si>
  <si>
    <t>DE</t>
  </si>
  <si>
    <t>até</t>
  </si>
  <si>
    <t>por dependente</t>
  </si>
  <si>
    <t>Teto previdenciário</t>
  </si>
  <si>
    <t>VERBAS</t>
  </si>
  <si>
    <t>quant.dependentes</t>
  </si>
  <si>
    <t>valor de INSS</t>
  </si>
  <si>
    <t>Pensão Alimentícia</t>
  </si>
  <si>
    <t>Exclusão de valores da base de cálculo</t>
  </si>
  <si>
    <t>ÁREA DE TESTE</t>
  </si>
  <si>
    <t xml:space="preserve">Contribuição para Previdência Privada </t>
  </si>
  <si>
    <t>limite para deduzir</t>
  </si>
  <si>
    <t>TOTAL DAS VERBAS</t>
  </si>
  <si>
    <t>I.R.R.F.</t>
  </si>
  <si>
    <t>SÓ APARECERÃO VALORES SUPERIORES A R$ 10,00</t>
  </si>
  <si>
    <t>esta planilha está atrelada à planilha custos para cálculo de pró-labore</t>
  </si>
  <si>
    <t>somente a altere em caso de mudança de tabelas</t>
  </si>
  <si>
    <t>VALOR LÍQUIDO RECEBIDO (VERBAS (-) INSS (-) IRRF</t>
  </si>
  <si>
    <t>TETOS</t>
  </si>
  <si>
    <t>ALÍQUOTA</t>
  </si>
  <si>
    <t>TABELA Salário Família -</t>
  </si>
  <si>
    <t>Portaria Interministerial 333 MPS-MF, de 29-6-2010, publicada no Diário
Oficial de hoje, dia 30-6-2010, dentre outras normas, reajustou em 7,72%,
com efeito retroativo a 1-1-2010</t>
  </si>
  <si>
    <t>SITUAÇÃO SALARIAL NA VISÃO DO EMPREGADO</t>
  </si>
  <si>
    <t>VALOR BRUTO</t>
  </si>
  <si>
    <t>Previdência Social</t>
  </si>
  <si>
    <t>total VT</t>
  </si>
  <si>
    <t>descontar</t>
  </si>
  <si>
    <t>limite</t>
  </si>
  <si>
    <t xml:space="preserve">Imposto de Renda na fonte </t>
  </si>
  <si>
    <t>Vale transporte</t>
  </si>
  <si>
    <t>Assistência Médica</t>
  </si>
  <si>
    <t>LÍQUIDO DO SALÁRIO AO FINAL DO MêS</t>
  </si>
  <si>
    <t>Vale alimentação</t>
  </si>
  <si>
    <t>Indenização lei 12.506/2011</t>
  </si>
  <si>
    <t>VALE (Adiantamento quinzenal)</t>
  </si>
  <si>
    <t>Se for professor digite 1</t>
  </si>
  <si>
    <t>Este contratado receberá alguma verba extra, além do salário? Se sim, quanto?</t>
  </si>
  <si>
    <t>Férias - (proporcional a 01 mês)</t>
  </si>
  <si>
    <t>Décimo terceiro salário  - (proporcional a 01 mês)</t>
  </si>
  <si>
    <t>Indenização rescisória do FGTS</t>
  </si>
  <si>
    <t>TOTAL DOS ENCARGOS TRABALHISTAS BÁSICOS*</t>
  </si>
  <si>
    <t>SALÁRIO MENSAL BÁSICO (+) complementos</t>
  </si>
  <si>
    <t>Outras Verbas</t>
  </si>
  <si>
    <r>
      <t xml:space="preserve">Outro benefício concedido ou exigido - </t>
    </r>
    <r>
      <rPr>
        <sz val="8"/>
        <color indexed="10"/>
        <rFont val="Verdana"/>
        <family val="2"/>
      </rPr>
      <t>descreva aqui</t>
    </r>
  </si>
  <si>
    <t>http://www.sinprosp.org.br/guia_consultas.asp?mat=68</t>
  </si>
  <si>
    <t>cálculo de salário hora</t>
  </si>
  <si>
    <t>não</t>
  </si>
  <si>
    <t>sim</t>
  </si>
  <si>
    <t>TABELA INSS - 01/2021</t>
  </si>
  <si>
    <t>-</t>
  </si>
  <si>
    <t>ANO 2021</t>
  </si>
  <si>
    <t>TETO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</si>
</sst>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"/>
  </numFmts>
  <fonts count="68">
    <font>
      <sz val="12"/>
      <name val="Times New Roman"/>
    </font>
    <font>
      <sz val="12"/>
      <name val="Times New Roman"/>
    </font>
    <font>
      <sz val="1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2"/>
      <color indexed="12"/>
      <name val="Times New Roman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10"/>
      <name val="Verdana"/>
      <family val="2"/>
    </font>
    <font>
      <b/>
      <sz val="8"/>
      <color indexed="81"/>
      <name val="Tahoma"/>
      <charset val="1"/>
    </font>
    <font>
      <b/>
      <sz val="8"/>
      <name val="Arial"/>
      <family val="2"/>
    </font>
    <font>
      <b/>
      <sz val="8"/>
      <color indexed="81"/>
      <name val="Tahoma"/>
    </font>
    <font>
      <b/>
      <sz val="11"/>
      <color indexed="10"/>
      <name val="Tahoma"/>
      <family val="2"/>
    </font>
    <font>
      <sz val="8"/>
      <color indexed="9"/>
      <name val="Verdana"/>
      <family val="2"/>
    </font>
    <font>
      <b/>
      <i/>
      <sz val="8"/>
      <name val="Verdana"/>
      <family val="2"/>
    </font>
    <font>
      <sz val="8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Verdana"/>
      <family val="2"/>
    </font>
    <font>
      <b/>
      <sz val="12"/>
      <color indexed="10"/>
      <name val="Times New Roman"/>
      <family val="1"/>
    </font>
    <font>
      <b/>
      <sz val="8"/>
      <color indexed="9"/>
      <name val="Verdan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 Unicode MS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u/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sz val="10"/>
      <name val="Arial"/>
    </font>
    <font>
      <sz val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Verdana"/>
      <family val="2"/>
    </font>
    <font>
      <sz val="10"/>
      <color indexed="10"/>
      <name val="Arial"/>
    </font>
    <font>
      <sz val="10"/>
      <color indexed="10"/>
      <name val="Arial Narrow"/>
      <family val="2"/>
    </font>
    <font>
      <b/>
      <sz val="18"/>
      <color indexed="10"/>
      <name val="Arial Narrow"/>
      <family val="2"/>
    </font>
    <font>
      <b/>
      <sz val="18"/>
      <color indexed="9"/>
      <name val="Arial Narrow"/>
      <family val="2"/>
    </font>
    <font>
      <sz val="18"/>
      <color indexed="12"/>
      <name val="Arial Narrow"/>
      <family val="2"/>
    </font>
    <font>
      <sz val="18"/>
      <color indexed="9"/>
      <name val="Courier"/>
    </font>
    <font>
      <b/>
      <sz val="16"/>
      <color indexed="9"/>
      <name val="Arial Narrow"/>
      <family val="2"/>
    </font>
    <font>
      <sz val="10"/>
      <color indexed="12"/>
      <name val="Arial Narrow"/>
      <family val="2"/>
    </font>
    <font>
      <u/>
      <sz val="10"/>
      <color indexed="12"/>
      <name val="Arial"/>
    </font>
    <font>
      <sz val="16"/>
      <color indexed="9"/>
      <name val="Times New Roman"/>
      <family val="1"/>
    </font>
    <font>
      <sz val="8"/>
      <color indexed="12"/>
      <name val="Verdana"/>
      <family val="2"/>
    </font>
    <font>
      <sz val="10"/>
      <color theme="0"/>
      <name val="Arial"/>
      <family val="2"/>
    </font>
    <font>
      <sz val="18"/>
      <color theme="1"/>
      <name val="Arial Narrow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10" fontId="3" fillId="0" borderId="0" xfId="3" applyNumberFormat="1" applyFont="1" applyProtection="1"/>
    <xf numFmtId="10" fontId="7" fillId="2" borderId="1" xfId="3" applyNumberFormat="1" applyFont="1" applyFill="1" applyBorder="1" applyAlignment="1" applyProtection="1">
      <alignment horizontal="center" shrinkToFit="1"/>
    </xf>
    <xf numFmtId="0" fontId="8" fillId="0" borderId="2" xfId="0" applyFont="1" applyBorder="1" applyProtection="1"/>
    <xf numFmtId="0" fontId="8" fillId="0" borderId="0" xfId="0" applyFont="1" applyProtection="1"/>
    <xf numFmtId="10" fontId="8" fillId="0" borderId="3" xfId="3" applyNumberFormat="1" applyFont="1" applyBorder="1" applyProtection="1"/>
    <xf numFmtId="10" fontId="8" fillId="0" borderId="4" xfId="3" applyNumberFormat="1" applyFont="1" applyFill="1" applyBorder="1" applyProtection="1"/>
    <xf numFmtId="165" fontId="8" fillId="0" borderId="4" xfId="4" applyFont="1" applyFill="1" applyBorder="1" applyProtection="1"/>
    <xf numFmtId="10" fontId="8" fillId="0" borderId="4" xfId="3" applyNumberFormat="1" applyFont="1" applyBorder="1" applyProtection="1"/>
    <xf numFmtId="0" fontId="8" fillId="0" borderId="4" xfId="0" applyFont="1" applyBorder="1" applyProtection="1"/>
    <xf numFmtId="165" fontId="8" fillId="0" borderId="4" xfId="4" applyFont="1" applyBorder="1" applyProtection="1"/>
    <xf numFmtId="10" fontId="8" fillId="0" borderId="4" xfId="0" applyNumberFormat="1" applyFont="1" applyBorder="1" applyProtection="1"/>
    <xf numFmtId="165" fontId="8" fillId="0" borderId="5" xfId="4" applyFont="1" applyBorder="1" applyProtection="1"/>
    <xf numFmtId="10" fontId="8" fillId="3" borderId="4" xfId="3" applyNumberFormat="1" applyFont="1" applyFill="1" applyBorder="1" applyProtection="1"/>
    <xf numFmtId="10" fontId="8" fillId="3" borderId="4" xfId="0" applyNumberFormat="1" applyFont="1" applyFill="1" applyBorder="1" applyProtection="1"/>
    <xf numFmtId="10" fontId="8" fillId="4" borderId="4" xfId="3" applyNumberFormat="1" applyFont="1" applyFill="1" applyBorder="1" applyProtection="1">
      <protection locked="0"/>
    </xf>
    <xf numFmtId="10" fontId="8" fillId="0" borderId="1" xfId="3" applyNumberFormat="1" applyFont="1" applyBorder="1" applyProtection="1"/>
    <xf numFmtId="10" fontId="8" fillId="0" borderId="3" xfId="0" applyNumberFormat="1" applyFont="1" applyBorder="1" applyProtection="1"/>
    <xf numFmtId="165" fontId="8" fillId="0" borderId="6" xfId="4" applyFont="1" applyBorder="1" applyProtection="1"/>
    <xf numFmtId="0" fontId="8" fillId="3" borderId="7" xfId="0" applyFont="1" applyFill="1" applyBorder="1" applyProtection="1"/>
    <xf numFmtId="0" fontId="8" fillId="3" borderId="1" xfId="0" applyFont="1" applyFill="1" applyBorder="1" applyProtection="1"/>
    <xf numFmtId="166" fontId="8" fillId="0" borderId="1" xfId="3" applyNumberFormat="1" applyFont="1" applyFill="1" applyBorder="1" applyAlignment="1" applyProtection="1">
      <alignment horizontal="center" vertical="center"/>
    </xf>
    <xf numFmtId="165" fontId="8" fillId="0" borderId="6" xfId="3" applyNumberFormat="1" applyFont="1" applyBorder="1" applyProtection="1"/>
    <xf numFmtId="165" fontId="7" fillId="0" borderId="6" xfId="3" applyNumberFormat="1" applyFont="1" applyBorder="1" applyProtection="1"/>
    <xf numFmtId="10" fontId="8" fillId="0" borderId="0" xfId="3" applyNumberFormat="1" applyFont="1" applyProtection="1"/>
    <xf numFmtId="0" fontId="10" fillId="0" borderId="0" xfId="0" applyFont="1" applyProtection="1"/>
    <xf numFmtId="165" fontId="8" fillId="0" borderId="0" xfId="4" applyFont="1" applyProtection="1"/>
    <xf numFmtId="164" fontId="8" fillId="0" borderId="3" xfId="2" applyFont="1" applyFill="1" applyBorder="1" applyProtection="1"/>
    <xf numFmtId="165" fontId="9" fillId="0" borderId="6" xfId="4" applyFont="1" applyBorder="1" applyAlignment="1" applyProtection="1">
      <alignment shrinkToFit="1"/>
    </xf>
    <xf numFmtId="165" fontId="8" fillId="0" borderId="8" xfId="4" applyFont="1" applyBorder="1" applyProtection="1"/>
    <xf numFmtId="165" fontId="8" fillId="0" borderId="9" xfId="3" applyNumberFormat="1" applyFont="1" applyBorder="1" applyProtection="1"/>
    <xf numFmtId="9" fontId="8" fillId="4" borderId="3" xfId="3" applyFont="1" applyFill="1" applyBorder="1" applyAlignment="1" applyProtection="1">
      <alignment horizontal="center"/>
      <protection locked="0"/>
    </xf>
    <xf numFmtId="166" fontId="6" fillId="4" borderId="4" xfId="0" applyNumberFormat="1" applyFont="1" applyFill="1" applyBorder="1" applyAlignment="1" applyProtection="1">
      <alignment horizontal="center" wrapText="1"/>
      <protection locked="0"/>
    </xf>
    <xf numFmtId="164" fontId="8" fillId="4" borderId="4" xfId="2" applyFont="1" applyFill="1" applyBorder="1" applyAlignment="1" applyProtection="1">
      <alignment wrapText="1"/>
      <protection locked="0"/>
    </xf>
    <xf numFmtId="165" fontId="8" fillId="0" borderId="5" xfId="4" applyFont="1" applyFill="1" applyBorder="1" applyProtection="1"/>
    <xf numFmtId="166" fontId="8" fillId="0" borderId="10" xfId="3" applyNumberFormat="1" applyFont="1" applyFill="1" applyBorder="1" applyAlignment="1" applyProtection="1">
      <alignment horizontal="center" vertical="center"/>
    </xf>
    <xf numFmtId="164" fontId="8" fillId="0" borderId="5" xfId="2" applyFont="1" applyFill="1" applyBorder="1" applyProtection="1"/>
    <xf numFmtId="9" fontId="8" fillId="4" borderId="6" xfId="3" applyFont="1" applyFill="1" applyBorder="1" applyAlignment="1" applyProtection="1">
      <alignment horizontal="center"/>
      <protection locked="0"/>
    </xf>
    <xf numFmtId="10" fontId="12" fillId="0" borderId="4" xfId="3" applyNumberFormat="1" applyFont="1" applyBorder="1" applyAlignment="1" applyProtection="1">
      <alignment horizontal="center" vertical="center"/>
    </xf>
    <xf numFmtId="10" fontId="8" fillId="4" borderId="3" xfId="0" applyNumberFormat="1" applyFont="1" applyFill="1" applyBorder="1" applyProtection="1">
      <protection locked="0"/>
    </xf>
    <xf numFmtId="0" fontId="8" fillId="0" borderId="7" xfId="0" applyFont="1" applyBorder="1" applyProtection="1"/>
    <xf numFmtId="0" fontId="8" fillId="0" borderId="1" xfId="0" applyFont="1" applyBorder="1" applyProtection="1"/>
    <xf numFmtId="0" fontId="7" fillId="2" borderId="7" xfId="0" applyFont="1" applyFill="1" applyBorder="1" applyProtection="1"/>
    <xf numFmtId="0" fontId="7" fillId="2" borderId="1" xfId="0" applyFont="1" applyFill="1" applyBorder="1" applyProtection="1"/>
    <xf numFmtId="165" fontId="8" fillId="0" borderId="6" xfId="4" applyFont="1" applyBorder="1" applyAlignment="1" applyProtection="1">
      <alignment horizontal="center"/>
    </xf>
    <xf numFmtId="165" fontId="8" fillId="0" borderId="8" xfId="4" applyFont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10" fontId="8" fillId="0" borderId="5" xfId="3" applyNumberFormat="1" applyFont="1" applyBorder="1" applyProtection="1"/>
    <xf numFmtId="9" fontId="8" fillId="0" borderId="9" xfId="3" applyFont="1" applyBorder="1" applyProtection="1"/>
    <xf numFmtId="9" fontId="8" fillId="0" borderId="6" xfId="3" applyFont="1" applyBorder="1" applyProtection="1"/>
    <xf numFmtId="165" fontId="8" fillId="4" borderId="4" xfId="4" applyFont="1" applyFill="1" applyBorder="1" applyProtection="1">
      <protection locked="0"/>
    </xf>
    <xf numFmtId="0" fontId="8" fillId="0" borderId="1" xfId="0" applyFont="1" applyFill="1" applyBorder="1" applyProtection="1"/>
    <xf numFmtId="0" fontId="8" fillId="0" borderId="7" xfId="0" quotePrefix="1" applyFont="1" applyFill="1" applyBorder="1" applyAlignment="1" applyProtection="1">
      <alignment horizontal="left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17" fillId="0" borderId="11" xfId="0" applyFont="1" applyBorder="1" applyProtection="1"/>
    <xf numFmtId="0" fontId="4" fillId="0" borderId="11" xfId="0" applyFont="1" applyBorder="1" applyProtection="1"/>
    <xf numFmtId="0" fontId="17" fillId="0" borderId="0" xfId="0" applyFont="1" applyFill="1" applyBorder="1" applyProtection="1"/>
    <xf numFmtId="0" fontId="18" fillId="5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18" fillId="6" borderId="0" xfId="0" applyFont="1" applyFill="1" applyProtection="1"/>
    <xf numFmtId="0" fontId="19" fillId="6" borderId="0" xfId="0" applyFont="1" applyFill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 wrapText="1"/>
    </xf>
    <xf numFmtId="0" fontId="16" fillId="0" borderId="12" xfId="0" applyFont="1" applyBorder="1" applyAlignment="1" applyProtection="1">
      <alignment horizontal="center" wrapText="1"/>
    </xf>
    <xf numFmtId="165" fontId="15" fillId="0" borderId="2" xfId="4" applyFont="1" applyFill="1" applyBorder="1" applyProtection="1"/>
    <xf numFmtId="166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9" fontId="8" fillId="4" borderId="6" xfId="4" applyNumberFormat="1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 shrinkToFi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vertical="center" wrapText="1"/>
    </xf>
    <xf numFmtId="10" fontId="7" fillId="0" borderId="4" xfId="3" applyNumberFormat="1" applyFont="1" applyBorder="1" applyProtection="1"/>
    <xf numFmtId="164" fontId="24" fillId="8" borderId="6" xfId="2" applyFont="1" applyFill="1" applyBorder="1" applyAlignment="1" applyProtection="1">
      <alignment vertical="center" wrapText="1"/>
    </xf>
    <xf numFmtId="165" fontId="3" fillId="0" borderId="0" xfId="4" applyFont="1"/>
    <xf numFmtId="165" fontId="27" fillId="0" borderId="0" xfId="4" applyFont="1" applyFill="1" applyAlignment="1">
      <alignment horizontal="center"/>
    </xf>
    <xf numFmtId="165" fontId="3" fillId="0" borderId="0" xfId="4" applyFont="1" applyFill="1"/>
    <xf numFmtId="165" fontId="26" fillId="0" borderId="0" xfId="4" applyFont="1" applyFill="1"/>
    <xf numFmtId="165" fontId="29" fillId="0" borderId="0" xfId="4" applyFont="1"/>
    <xf numFmtId="165" fontId="30" fillId="0" borderId="14" xfId="4" applyFont="1" applyBorder="1"/>
    <xf numFmtId="165" fontId="29" fillId="0" borderId="12" xfId="4" applyFont="1" applyBorder="1"/>
    <xf numFmtId="165" fontId="29" fillId="0" borderId="15" xfId="4" applyFont="1" applyBorder="1"/>
    <xf numFmtId="165" fontId="29" fillId="0" borderId="16" xfId="4" applyFont="1" applyBorder="1"/>
    <xf numFmtId="165" fontId="29" fillId="0" borderId="0" xfId="4" applyFont="1" applyBorder="1"/>
    <xf numFmtId="165" fontId="29" fillId="0" borderId="17" xfId="4" applyFont="1" applyBorder="1"/>
    <xf numFmtId="0" fontId="31" fillId="0" borderId="0" xfId="0" applyFont="1"/>
    <xf numFmtId="165" fontId="32" fillId="0" borderId="18" xfId="4" applyFont="1" applyBorder="1" applyProtection="1">
      <protection locked="0"/>
    </xf>
    <xf numFmtId="165" fontId="32" fillId="0" borderId="19" xfId="4" applyFont="1" applyBorder="1" applyProtection="1">
      <protection locked="0"/>
    </xf>
    <xf numFmtId="165" fontId="32" fillId="0" borderId="19" xfId="4" quotePrefix="1" applyFont="1" applyBorder="1" applyAlignment="1" applyProtection="1">
      <alignment horizontal="center"/>
      <protection locked="0"/>
    </xf>
    <xf numFmtId="165" fontId="32" fillId="0" borderId="20" xfId="4" applyFont="1" applyBorder="1" applyProtection="1">
      <protection locked="0"/>
    </xf>
    <xf numFmtId="165" fontId="29" fillId="9" borderId="0" xfId="4" applyFont="1" applyFill="1"/>
    <xf numFmtId="10" fontId="32" fillId="0" borderId="19" xfId="4" applyNumberFormat="1" applyFont="1" applyBorder="1" applyAlignment="1" applyProtection="1">
      <alignment horizontal="center"/>
      <protection locked="0"/>
    </xf>
    <xf numFmtId="165" fontId="32" fillId="2" borderId="19" xfId="4" applyFont="1" applyFill="1" applyBorder="1" applyProtection="1">
      <protection locked="0"/>
    </xf>
    <xf numFmtId="165" fontId="32" fillId="0" borderId="16" xfId="4" applyFont="1" applyBorder="1" applyProtection="1">
      <protection locked="0"/>
    </xf>
    <xf numFmtId="165" fontId="32" fillId="0" borderId="0" xfId="4" applyFont="1" applyBorder="1" applyProtection="1">
      <protection locked="0"/>
    </xf>
    <xf numFmtId="165" fontId="32" fillId="0" borderId="0" xfId="4" applyFont="1" applyFill="1" applyBorder="1" applyProtection="1">
      <protection locked="0"/>
    </xf>
    <xf numFmtId="9" fontId="32" fillId="0" borderId="0" xfId="4" applyNumberFormat="1" applyFont="1" applyBorder="1" applyAlignment="1" applyProtection="1">
      <alignment horizontal="center"/>
      <protection locked="0"/>
    </xf>
    <xf numFmtId="165" fontId="32" fillId="0" borderId="17" xfId="4" applyFont="1" applyBorder="1" applyProtection="1">
      <protection locked="0"/>
    </xf>
    <xf numFmtId="9" fontId="32" fillId="0" borderId="19" xfId="4" applyNumberFormat="1" applyFont="1" applyBorder="1" applyAlignment="1" applyProtection="1">
      <alignment horizontal="center"/>
      <protection locked="0"/>
    </xf>
    <xf numFmtId="164" fontId="25" fillId="10" borderId="0" xfId="0" applyNumberFormat="1" applyFont="1" applyFill="1"/>
    <xf numFmtId="0" fontId="3" fillId="0" borderId="0" xfId="0" applyFont="1"/>
    <xf numFmtId="165" fontId="34" fillId="0" borderId="0" xfId="4" applyFont="1" applyAlignment="1">
      <alignment horizontal="center"/>
    </xf>
    <xf numFmtId="165" fontId="35" fillId="0" borderId="0" xfId="4" applyFont="1"/>
    <xf numFmtId="166" fontId="27" fillId="11" borderId="11" xfId="4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0" fontId="27" fillId="11" borderId="11" xfId="4" applyNumberFormat="1" applyFont="1" applyFill="1" applyBorder="1" applyProtection="1">
      <protection locked="0"/>
    </xf>
    <xf numFmtId="165" fontId="3" fillId="0" borderId="0" xfId="0" applyNumberFormat="1" applyFont="1"/>
    <xf numFmtId="165" fontId="35" fillId="0" borderId="0" xfId="4" quotePrefix="1" applyFont="1" applyAlignment="1">
      <alignment horizontal="left"/>
    </xf>
    <xf numFmtId="40" fontId="27" fillId="11" borderId="11" xfId="4" applyNumberFormat="1" applyFont="1" applyFill="1" applyBorder="1" applyAlignment="1" applyProtection="1">
      <alignment horizontal="right"/>
      <protection locked="0"/>
    </xf>
    <xf numFmtId="40" fontId="27" fillId="11" borderId="21" xfId="4" applyNumberFormat="1" applyFont="1" applyFill="1" applyBorder="1" applyProtection="1">
      <protection locked="0"/>
    </xf>
    <xf numFmtId="165" fontId="35" fillId="0" borderId="0" xfId="4" applyFont="1" applyAlignment="1">
      <alignment horizontal="left"/>
    </xf>
    <xf numFmtId="40" fontId="37" fillId="5" borderId="11" xfId="4" applyNumberFormat="1" applyFont="1" applyFill="1" applyBorder="1" applyAlignment="1" applyProtection="1">
      <alignment horizontal="right"/>
      <protection locked="0"/>
    </xf>
    <xf numFmtId="165" fontId="3" fillId="12" borderId="0" xfId="4" applyFont="1" applyFill="1"/>
    <xf numFmtId="165" fontId="33" fillId="0" borderId="0" xfId="4" applyFont="1" applyFill="1" applyAlignment="1">
      <alignment horizontal="left" wrapText="1"/>
    </xf>
    <xf numFmtId="40" fontId="38" fillId="3" borderId="11" xfId="4" applyNumberFormat="1" applyFont="1" applyFill="1" applyBorder="1" applyAlignment="1" applyProtection="1">
      <alignment horizontal="right"/>
    </xf>
    <xf numFmtId="0" fontId="3" fillId="0" borderId="0" xfId="0" applyFont="1" applyFill="1" applyProtection="1">
      <protection locked="0"/>
    </xf>
    <xf numFmtId="40" fontId="34" fillId="0" borderId="0" xfId="4" applyNumberFormat="1" applyFont="1" applyFill="1" applyBorder="1" applyProtection="1">
      <protection locked="0"/>
    </xf>
    <xf numFmtId="165" fontId="3" fillId="0" borderId="0" xfId="0" applyNumberFormat="1" applyFont="1" applyFill="1"/>
    <xf numFmtId="165" fontId="39" fillId="0" borderId="0" xfId="4" applyFont="1"/>
    <xf numFmtId="0" fontId="29" fillId="0" borderId="0" xfId="0" applyFont="1"/>
    <xf numFmtId="165" fontId="27" fillId="9" borderId="0" xfId="4" applyFont="1" applyFill="1"/>
    <xf numFmtId="165" fontId="3" fillId="9" borderId="0" xfId="4" applyFont="1" applyFill="1"/>
    <xf numFmtId="165" fontId="40" fillId="9" borderId="0" xfId="4" applyFont="1" applyFill="1" applyAlignment="1">
      <alignment shrinkToFit="1"/>
    </xf>
    <xf numFmtId="0" fontId="41" fillId="11" borderId="0" xfId="0" quotePrefix="1" applyFont="1" applyFill="1" applyBorder="1" applyAlignment="1">
      <alignment horizontal="center"/>
    </xf>
    <xf numFmtId="165" fontId="3" fillId="7" borderId="0" xfId="4" applyFont="1" applyFill="1"/>
    <xf numFmtId="165" fontId="42" fillId="13" borderId="0" xfId="4" applyFont="1" applyFill="1"/>
    <xf numFmtId="165" fontId="3" fillId="13" borderId="0" xfId="4" applyFont="1" applyFill="1"/>
    <xf numFmtId="165" fontId="40" fillId="13" borderId="0" xfId="4" applyFont="1" applyFill="1"/>
    <xf numFmtId="0" fontId="41" fillId="0" borderId="0" xfId="0" quotePrefix="1" applyFont="1" applyFill="1" applyBorder="1" applyAlignment="1">
      <alignment horizontal="center"/>
    </xf>
    <xf numFmtId="165" fontId="42" fillId="0" borderId="0" xfId="4" applyFont="1" applyFill="1"/>
    <xf numFmtId="165" fontId="40" fillId="0" borderId="0" xfId="4" applyFont="1" applyFill="1"/>
    <xf numFmtId="0" fontId="44" fillId="0" borderId="0" xfId="0" applyFont="1"/>
    <xf numFmtId="0" fontId="45" fillId="0" borderId="0" xfId="0" applyFont="1"/>
    <xf numFmtId="0" fontId="46" fillId="0" borderId="0" xfId="0" applyFont="1"/>
    <xf numFmtId="165" fontId="47" fillId="0" borderId="0" xfId="4" applyFont="1" applyAlignment="1">
      <alignment horizontal="center"/>
    </xf>
    <xf numFmtId="0" fontId="48" fillId="0" borderId="0" xfId="0" applyFont="1"/>
    <xf numFmtId="164" fontId="27" fillId="11" borderId="11" xfId="2" applyFont="1" applyFill="1" applyBorder="1" applyProtection="1">
      <protection locked="0"/>
    </xf>
    <xf numFmtId="165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46" fillId="0" borderId="0" xfId="0" applyFont="1" applyFill="1" applyBorder="1"/>
    <xf numFmtId="165" fontId="47" fillId="0" borderId="0" xfId="4" applyFont="1" applyFill="1" applyBorder="1" applyAlignment="1" applyProtection="1">
      <alignment horizontal="center"/>
      <protection locked="0"/>
    </xf>
    <xf numFmtId="164" fontId="47" fillId="0" borderId="0" xfId="2" applyFont="1" applyFill="1" applyBorder="1"/>
    <xf numFmtId="165" fontId="46" fillId="0" borderId="0" xfId="4" applyFont="1" applyFill="1" applyBorder="1"/>
    <xf numFmtId="0" fontId="45" fillId="0" borderId="0" xfId="0" applyFont="1" applyFill="1" applyBorder="1"/>
    <xf numFmtId="40" fontId="48" fillId="0" borderId="0" xfId="4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/>
    <xf numFmtId="40" fontId="48" fillId="0" borderId="0" xfId="4" applyNumberFormat="1" applyFont="1" applyFill="1" applyBorder="1" applyProtection="1">
      <protection locked="0"/>
    </xf>
    <xf numFmtId="10" fontId="48" fillId="0" borderId="0" xfId="3" applyNumberFormat="1" applyFont="1" applyFill="1" applyBorder="1" applyProtection="1">
      <protection locked="0"/>
    </xf>
    <xf numFmtId="164" fontId="53" fillId="0" borderId="0" xfId="2" applyFont="1" applyFill="1"/>
    <xf numFmtId="0" fontId="55" fillId="0" borderId="0" xfId="0" applyFont="1" applyFill="1" applyAlignment="1" applyProtection="1">
      <alignment horizontal="left"/>
      <protection locked="0"/>
    </xf>
    <xf numFmtId="165" fontId="56" fillId="0" borderId="0" xfId="4" applyFont="1" applyFill="1"/>
    <xf numFmtId="40" fontId="57" fillId="0" borderId="0" xfId="4" applyNumberFormat="1" applyFont="1" applyFill="1" applyBorder="1" applyAlignment="1" applyProtection="1">
      <alignment horizontal="center"/>
      <protection locked="0"/>
    </xf>
    <xf numFmtId="40" fontId="58" fillId="0" borderId="0" xfId="1" applyNumberFormat="1" applyFont="1" applyFill="1" applyBorder="1" applyAlignment="1" applyProtection="1">
      <alignment horizontal="left"/>
      <protection locked="0"/>
    </xf>
    <xf numFmtId="165" fontId="50" fillId="0" borderId="0" xfId="4" applyFont="1"/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shrinkToFit="1"/>
      <protection locked="0"/>
    </xf>
    <xf numFmtId="9" fontId="8" fillId="0" borderId="6" xfId="4" applyNumberFormat="1" applyFont="1" applyFill="1" applyBorder="1" applyAlignment="1" applyProtection="1">
      <alignment horizontal="center"/>
      <protection locked="0"/>
    </xf>
    <xf numFmtId="165" fontId="8" fillId="0" borderId="6" xfId="4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5" fontId="15" fillId="0" borderId="9" xfId="3" applyNumberFormat="1" applyFont="1" applyBorder="1" applyProtection="1"/>
    <xf numFmtId="0" fontId="8" fillId="0" borderId="7" xfId="0" applyFont="1" applyFill="1" applyBorder="1" applyAlignment="1" applyProtection="1">
      <alignment horizontal="left"/>
    </xf>
    <xf numFmtId="165" fontId="60" fillId="0" borderId="8" xfId="4" applyFont="1" applyBorder="1" applyAlignment="1" applyProtection="1">
      <alignment horizontal="center"/>
    </xf>
    <xf numFmtId="164" fontId="9" fillId="0" borderId="9" xfId="2" applyFont="1" applyBorder="1" applyProtection="1"/>
    <xf numFmtId="0" fontId="43" fillId="0" borderId="0" xfId="0" applyFont="1" applyProtection="1"/>
    <xf numFmtId="9" fontId="8" fillId="4" borderId="10" xfId="3" applyFont="1" applyFill="1" applyBorder="1" applyAlignment="1" applyProtection="1">
      <alignment horizontal="center" vertical="center"/>
      <protection locked="0"/>
    </xf>
    <xf numFmtId="9" fontId="7" fillId="4" borderId="2" xfId="3" applyFont="1" applyFill="1" applyBorder="1" applyAlignment="1" applyProtection="1">
      <alignment horizontal="center"/>
      <protection locked="0"/>
    </xf>
    <xf numFmtId="0" fontId="5" fillId="0" borderId="0" xfId="1" applyAlignment="1" applyProtection="1"/>
    <xf numFmtId="40" fontId="54" fillId="17" borderId="12" xfId="4" applyNumberFormat="1" applyFont="1" applyFill="1" applyBorder="1" applyProtection="1">
      <protection locked="0"/>
    </xf>
    <xf numFmtId="164" fontId="54" fillId="17" borderId="12" xfId="2" applyFont="1" applyFill="1" applyBorder="1" applyProtection="1">
      <protection locked="0"/>
    </xf>
    <xf numFmtId="164" fontId="61" fillId="0" borderId="0" xfId="0" applyNumberFormat="1" applyFont="1" applyProtection="1"/>
    <xf numFmtId="40" fontId="62" fillId="11" borderId="11" xfId="4" applyNumberFormat="1" applyFont="1" applyFill="1" applyBorder="1" applyAlignment="1" applyProtection="1">
      <alignment horizontal="center"/>
      <protection locked="0"/>
    </xf>
    <xf numFmtId="0" fontId="63" fillId="0" borderId="0" xfId="0" applyFont="1" applyBorder="1"/>
    <xf numFmtId="0" fontId="64" fillId="0" borderId="0" xfId="0" applyFont="1"/>
    <xf numFmtId="40" fontId="62" fillId="16" borderId="11" xfId="4" applyNumberFormat="1" applyFont="1" applyFill="1" applyBorder="1" applyProtection="1">
      <protection locked="0"/>
    </xf>
    <xf numFmtId="10" fontId="62" fillId="16" borderId="11" xfId="3" applyNumberFormat="1" applyFont="1" applyFill="1" applyBorder="1" applyProtection="1">
      <protection locked="0"/>
    </xf>
    <xf numFmtId="10" fontId="62" fillId="16" borderId="21" xfId="3" applyNumberFormat="1" applyFont="1" applyFill="1" applyBorder="1" applyProtection="1">
      <protection locked="0"/>
    </xf>
    <xf numFmtId="165" fontId="65" fillId="0" borderId="0" xfId="0" applyNumberFormat="1" applyFont="1"/>
    <xf numFmtId="40" fontId="62" fillId="11" borderId="11" xfId="4" applyNumberFormat="1" applyFont="1" applyFill="1" applyBorder="1" applyProtection="1">
      <protection locked="0"/>
    </xf>
    <xf numFmtId="10" fontId="62" fillId="11" borderId="11" xfId="3" applyNumberFormat="1" applyFont="1" applyFill="1" applyBorder="1" applyProtection="1">
      <protection locked="0"/>
    </xf>
    <xf numFmtId="165" fontId="62" fillId="0" borderId="0" xfId="4" applyFont="1" applyFill="1" applyBorder="1"/>
    <xf numFmtId="165" fontId="66" fillId="0" borderId="0" xfId="4" applyFont="1" applyFill="1" applyBorder="1"/>
    <xf numFmtId="165" fontId="65" fillId="0" borderId="0" xfId="4" applyFont="1"/>
    <xf numFmtId="165" fontId="62" fillId="16" borderId="0" xfId="4" applyFont="1" applyFill="1" applyBorder="1"/>
    <xf numFmtId="165" fontId="66" fillId="16" borderId="0" xfId="4" applyFont="1" applyFill="1" applyBorder="1"/>
    <xf numFmtId="10" fontId="62" fillId="16" borderId="18" xfId="3" applyNumberFormat="1" applyFont="1" applyFill="1" applyBorder="1" applyAlignment="1" applyProtection="1">
      <alignment horizontal="center"/>
      <protection locked="0"/>
    </xf>
    <xf numFmtId="10" fontId="62" fillId="16" borderId="0" xfId="3" applyNumberFormat="1" applyFont="1" applyFill="1" applyBorder="1" applyAlignment="1" applyProtection="1">
      <alignment horizontal="center"/>
      <protection locked="0"/>
    </xf>
    <xf numFmtId="40" fontId="62" fillId="11" borderId="0" xfId="4" applyNumberFormat="1" applyFont="1" applyFill="1" applyBorder="1" applyAlignment="1" applyProtection="1">
      <alignment horizontal="center"/>
      <protection locked="0"/>
    </xf>
    <xf numFmtId="10" fontId="62" fillId="18" borderId="0" xfId="3" applyNumberFormat="1" applyFont="1" applyFill="1" applyBorder="1" applyAlignment="1" applyProtection="1">
      <alignment horizontal="center"/>
      <protection locked="0"/>
    </xf>
    <xf numFmtId="165" fontId="65" fillId="18" borderId="11" xfId="4" applyFont="1" applyFill="1" applyBorder="1"/>
    <xf numFmtId="10" fontId="62" fillId="18" borderId="18" xfId="3" applyNumberFormat="1" applyFont="1" applyFill="1" applyBorder="1" applyAlignment="1" applyProtection="1">
      <alignment horizontal="center"/>
      <protection locked="0"/>
    </xf>
    <xf numFmtId="10" fontId="62" fillId="18" borderId="19" xfId="3" applyNumberFormat="1" applyFont="1" applyFill="1" applyBorder="1" applyAlignment="1" applyProtection="1">
      <alignment horizontal="center"/>
      <protection locked="0"/>
    </xf>
    <xf numFmtId="10" fontId="62" fillId="18" borderId="20" xfId="3" applyNumberFormat="1" applyFont="1" applyFill="1" applyBorder="1" applyAlignment="1" applyProtection="1">
      <alignment horizontal="center"/>
      <protection locked="0"/>
    </xf>
    <xf numFmtId="40" fontId="62" fillId="11" borderId="34" xfId="4" applyNumberFormat="1" applyFont="1" applyFill="1" applyBorder="1" applyProtection="1">
      <protection locked="0"/>
    </xf>
    <xf numFmtId="164" fontId="62" fillId="11" borderId="34" xfId="2" applyFont="1" applyFill="1" applyBorder="1" applyProtection="1">
      <protection locked="0"/>
    </xf>
    <xf numFmtId="40" fontId="62" fillId="11" borderId="33" xfId="4" applyNumberFormat="1" applyFont="1" applyFill="1" applyBorder="1" applyProtection="1">
      <protection locked="0"/>
    </xf>
    <xf numFmtId="10" fontId="62" fillId="11" borderId="33" xfId="3" applyNumberFormat="1" applyFont="1" applyFill="1" applyBorder="1" applyProtection="1">
      <protection locked="0"/>
    </xf>
    <xf numFmtId="2" fontId="62" fillId="16" borderId="14" xfId="3" applyNumberFormat="1" applyFont="1" applyFill="1" applyBorder="1" applyProtection="1">
      <protection locked="0"/>
    </xf>
    <xf numFmtId="165" fontId="65" fillId="18" borderId="27" xfId="4" applyFont="1" applyFill="1" applyBorder="1"/>
    <xf numFmtId="2" fontId="62" fillId="16" borderId="25" xfId="3" applyNumberFormat="1" applyFont="1" applyFill="1" applyBorder="1" applyProtection="1">
      <protection locked="0"/>
    </xf>
    <xf numFmtId="165" fontId="65" fillId="19" borderId="20" xfId="4" applyFont="1" applyFill="1" applyBorder="1"/>
    <xf numFmtId="165" fontId="65" fillId="18" borderId="27" xfId="0" applyNumberFormat="1" applyFont="1" applyFill="1" applyBorder="1"/>
    <xf numFmtId="165" fontId="65" fillId="19" borderId="27" xfId="4" applyFont="1" applyFill="1" applyBorder="1"/>
    <xf numFmtId="10" fontId="62" fillId="16" borderId="14" xfId="3" applyNumberFormat="1" applyFont="1" applyFill="1" applyBorder="1" applyAlignment="1" applyProtection="1">
      <alignment horizontal="center"/>
      <protection locked="0"/>
    </xf>
    <xf numFmtId="10" fontId="62" fillId="16" borderId="12" xfId="3" applyNumberFormat="1" applyFont="1" applyFill="1" applyBorder="1" applyAlignment="1" applyProtection="1">
      <alignment horizontal="center"/>
      <protection locked="0"/>
    </xf>
    <xf numFmtId="10" fontId="62" fillId="19" borderId="15" xfId="3" applyNumberFormat="1" applyFont="1" applyFill="1" applyBorder="1" applyAlignment="1" applyProtection="1">
      <alignment horizontal="center"/>
      <protection locked="0"/>
    </xf>
    <xf numFmtId="40" fontId="62" fillId="11" borderId="16" xfId="4" applyNumberFormat="1" applyFont="1" applyFill="1" applyBorder="1" applyAlignment="1" applyProtection="1">
      <alignment horizontal="center"/>
      <protection locked="0"/>
    </xf>
    <xf numFmtId="40" fontId="62" fillId="11" borderId="17" xfId="4" applyNumberFormat="1" applyFont="1" applyFill="1" applyBorder="1" applyAlignment="1" applyProtection="1">
      <alignment horizontal="center"/>
      <protection locked="0"/>
    </xf>
    <xf numFmtId="10" fontId="62" fillId="16" borderId="16" xfId="3" applyNumberFormat="1" applyFont="1" applyFill="1" applyBorder="1" applyAlignment="1" applyProtection="1">
      <alignment horizontal="center"/>
      <protection locked="0"/>
    </xf>
    <xf numFmtId="10" fontId="62" fillId="16" borderId="17" xfId="3" applyNumberFormat="1" applyFont="1" applyFill="1" applyBorder="1" applyAlignment="1" applyProtection="1">
      <alignment horizontal="center"/>
      <protection locked="0"/>
    </xf>
    <xf numFmtId="10" fontId="62" fillId="18" borderId="16" xfId="3" applyNumberFormat="1" applyFont="1" applyFill="1" applyBorder="1" applyAlignment="1" applyProtection="1">
      <alignment horizontal="center"/>
      <protection locked="0"/>
    </xf>
    <xf numFmtId="10" fontId="62" fillId="18" borderId="17" xfId="3" applyNumberFormat="1" applyFont="1" applyFill="1" applyBorder="1" applyAlignment="1" applyProtection="1">
      <alignment horizontal="center"/>
      <protection locked="0"/>
    </xf>
    <xf numFmtId="165" fontId="67" fillId="19" borderId="11" xfId="4" applyFont="1" applyFill="1" applyBorder="1"/>
    <xf numFmtId="0" fontId="15" fillId="5" borderId="10" xfId="0" applyFont="1" applyFill="1" applyBorder="1" applyProtection="1"/>
    <xf numFmtId="0" fontId="8" fillId="0" borderId="7" xfId="0" applyFont="1" applyBorder="1" applyProtection="1"/>
    <xf numFmtId="0" fontId="8" fillId="0" borderId="1" xfId="0" applyFont="1" applyBorder="1" applyProtection="1"/>
    <xf numFmtId="0" fontId="8" fillId="0" borderId="7" xfId="0" applyFont="1" applyBorder="1" applyAlignment="1" applyProtection="1">
      <alignment horizontal="left"/>
    </xf>
    <xf numFmtId="0" fontId="8" fillId="0" borderId="2" xfId="0" applyFont="1" applyBorder="1" applyProtection="1"/>
    <xf numFmtId="0" fontId="8" fillId="0" borderId="7" xfId="0" quotePrefix="1" applyFont="1" applyFill="1" applyBorder="1" applyAlignment="1" applyProtection="1">
      <alignment horizontal="left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7" xfId="0" quotePrefix="1" applyFont="1" applyBorder="1" applyAlignment="1" applyProtection="1">
      <alignment horizontal="left"/>
    </xf>
    <xf numFmtId="0" fontId="8" fillId="0" borderId="10" xfId="0" applyFont="1" applyBorder="1" applyProtection="1"/>
    <xf numFmtId="0" fontId="8" fillId="0" borderId="7" xfId="0" quotePrefix="1" applyFont="1" applyBorder="1" applyAlignment="1" applyProtection="1">
      <alignment horizontal="left" shrinkToFit="1"/>
    </xf>
    <xf numFmtId="0" fontId="8" fillId="0" borderId="1" xfId="0" quotePrefix="1" applyFont="1" applyBorder="1" applyAlignment="1" applyProtection="1">
      <alignment horizontal="left" shrinkToFit="1"/>
    </xf>
    <xf numFmtId="0" fontId="2" fillId="3" borderId="22" xfId="0" quotePrefix="1" applyFont="1" applyFill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2" xfId="0" applyFont="1" applyBorder="1" applyProtection="1"/>
    <xf numFmtId="0" fontId="8" fillId="3" borderId="0" xfId="0" applyFont="1" applyFill="1" applyBorder="1" applyProtection="1"/>
    <xf numFmtId="0" fontId="8" fillId="3" borderId="23" xfId="0" quotePrefix="1" applyFont="1" applyFill="1" applyBorder="1" applyAlignment="1" applyProtection="1">
      <alignment horizontal="left"/>
    </xf>
    <xf numFmtId="0" fontId="8" fillId="3" borderId="22" xfId="0" applyFont="1" applyFill="1" applyBorder="1" applyProtection="1"/>
    <xf numFmtId="0" fontId="8" fillId="3" borderId="6" xfId="0" applyFont="1" applyFill="1" applyBorder="1" applyProtection="1"/>
    <xf numFmtId="0" fontId="8" fillId="8" borderId="7" xfId="0" quotePrefix="1" applyFont="1" applyFill="1" applyBorder="1" applyAlignment="1" applyProtection="1">
      <alignment horizontal="left"/>
    </xf>
    <xf numFmtId="0" fontId="8" fillId="8" borderId="1" xfId="0" quotePrefix="1" applyFont="1" applyFill="1" applyBorder="1" applyAlignment="1" applyProtection="1">
      <alignment horizontal="left"/>
    </xf>
    <xf numFmtId="0" fontId="8" fillId="0" borderId="0" xfId="0" quotePrefix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22" fillId="5" borderId="24" xfId="0" applyFont="1" applyFill="1" applyBorder="1" applyAlignment="1" applyProtection="1">
      <alignment horizontal="center" wrapText="1"/>
    </xf>
    <xf numFmtId="0" fontId="22" fillId="5" borderId="24" xfId="0" quotePrefix="1" applyFont="1" applyFill="1" applyBorder="1" applyAlignment="1" applyProtection="1">
      <alignment horizontal="center"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horizontal="center" wrapText="1"/>
    </xf>
    <xf numFmtId="0" fontId="16" fillId="0" borderId="27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right" wrapText="1"/>
    </xf>
    <xf numFmtId="0" fontId="8" fillId="0" borderId="4" xfId="0" quotePrefix="1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28" xfId="0" applyFont="1" applyBorder="1" applyProtection="1"/>
    <xf numFmtId="0" fontId="8" fillId="0" borderId="29" xfId="0" applyFont="1" applyBorder="1" applyProtection="1"/>
    <xf numFmtId="0" fontId="8" fillId="0" borderId="9" xfId="0" applyFont="1" applyBorder="1" applyProtection="1"/>
    <xf numFmtId="0" fontId="8" fillId="0" borderId="7" xfId="0" applyFont="1" applyBorder="1" applyAlignment="1" applyProtection="1">
      <alignment horizontal="left" shrinkToFit="1"/>
    </xf>
    <xf numFmtId="0" fontId="8" fillId="0" borderId="30" xfId="0" applyFont="1" applyBorder="1" applyProtection="1"/>
    <xf numFmtId="0" fontId="8" fillId="0" borderId="31" xfId="0" applyFont="1" applyBorder="1" applyProtection="1"/>
    <xf numFmtId="0" fontId="8" fillId="0" borderId="7" xfId="0" applyFont="1" applyBorder="1" applyAlignment="1" applyProtection="1">
      <alignment shrinkToFit="1"/>
    </xf>
    <xf numFmtId="0" fontId="8" fillId="0" borderId="1" xfId="0" applyFont="1" applyBorder="1" applyAlignment="1" applyProtection="1">
      <alignment shrinkToFit="1"/>
    </xf>
    <xf numFmtId="0" fontId="8" fillId="0" borderId="2" xfId="0" applyFont="1" applyBorder="1" applyAlignment="1" applyProtection="1">
      <alignment shrinkToFit="1"/>
    </xf>
    <xf numFmtId="0" fontId="23" fillId="0" borderId="30" xfId="0" applyFont="1" applyBorder="1" applyAlignment="1" applyProtection="1">
      <alignment vertical="center" wrapText="1"/>
    </xf>
    <xf numFmtId="0" fontId="23" fillId="0" borderId="10" xfId="0" applyFont="1" applyBorder="1" applyAlignment="1" applyProtection="1">
      <alignment vertical="center" wrapText="1"/>
    </xf>
    <xf numFmtId="0" fontId="23" fillId="0" borderId="31" xfId="0" applyFont="1" applyBorder="1" applyAlignment="1" applyProtection="1">
      <alignment vertical="center" wrapText="1"/>
    </xf>
    <xf numFmtId="0" fontId="23" fillId="0" borderId="13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shrinkToFit="1"/>
    </xf>
    <xf numFmtId="0" fontId="10" fillId="0" borderId="1" xfId="0" applyFont="1" applyBorder="1" applyAlignment="1" applyProtection="1">
      <alignment shrinkToFit="1"/>
    </xf>
    <xf numFmtId="0" fontId="10" fillId="0" borderId="2" xfId="0" applyFont="1" applyBorder="1" applyAlignment="1" applyProtection="1">
      <alignment shrinkToFit="1"/>
    </xf>
    <xf numFmtId="0" fontId="59" fillId="6" borderId="22" xfId="0" applyFont="1" applyFill="1" applyBorder="1" applyAlignment="1" applyProtection="1">
      <alignment horizontal="center"/>
    </xf>
    <xf numFmtId="0" fontId="59" fillId="6" borderId="22" xfId="0" quotePrefix="1" applyFont="1" applyFill="1" applyBorder="1" applyAlignment="1" applyProtection="1">
      <alignment horizontal="center"/>
    </xf>
    <xf numFmtId="0" fontId="8" fillId="0" borderId="7" xfId="0" applyFont="1" applyFill="1" applyBorder="1" applyProtection="1"/>
    <xf numFmtId="0" fontId="23" fillId="0" borderId="23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vertical="center" wrapText="1"/>
    </xf>
    <xf numFmtId="0" fontId="2" fillId="3" borderId="0" xfId="0" quotePrefix="1" applyFont="1" applyFill="1" applyAlignment="1" applyProtection="1">
      <alignment horizont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65" fontId="52" fillId="0" borderId="19" xfId="4" applyFont="1" applyBorder="1" applyAlignment="1">
      <alignment horizontal="center"/>
    </xf>
    <xf numFmtId="0" fontId="0" fillId="0" borderId="19" xfId="0" applyBorder="1" applyAlignment="1"/>
    <xf numFmtId="165" fontId="43" fillId="5" borderId="0" xfId="4" applyFont="1" applyFill="1"/>
    <xf numFmtId="0" fontId="29" fillId="0" borderId="0" xfId="0" applyFont="1" applyBorder="1" applyAlignment="1">
      <alignment wrapText="1"/>
    </xf>
    <xf numFmtId="165" fontId="26" fillId="14" borderId="0" xfId="4" applyFont="1" applyFill="1" applyAlignment="1">
      <alignment horizontal="center"/>
    </xf>
    <xf numFmtId="165" fontId="26" fillId="14" borderId="19" xfId="4" applyFont="1" applyFill="1" applyBorder="1" applyAlignment="1">
      <alignment horizontal="center"/>
    </xf>
    <xf numFmtId="165" fontId="28" fillId="0" borderId="19" xfId="4" applyFont="1" applyFill="1" applyBorder="1" applyAlignment="1">
      <alignment horizontal="center"/>
    </xf>
    <xf numFmtId="165" fontId="33" fillId="0" borderId="0" xfId="4" applyFont="1" applyAlignment="1">
      <alignment horizontal="left" wrapText="1"/>
    </xf>
    <xf numFmtId="165" fontId="36" fillId="0" borderId="0" xfId="4" applyFont="1" applyAlignment="1">
      <alignment horizontal="left" wrapText="1"/>
    </xf>
    <xf numFmtId="40" fontId="27" fillId="11" borderId="33" xfId="4" applyNumberFormat="1" applyFont="1" applyFill="1" applyBorder="1" applyAlignment="1" applyProtection="1">
      <alignment horizontal="right"/>
      <protection locked="0"/>
    </xf>
    <xf numFmtId="40" fontId="27" fillId="11" borderId="21" xfId="4" applyNumberFormat="1" applyFont="1" applyFill="1" applyBorder="1" applyAlignment="1" applyProtection="1">
      <alignment horizontal="right"/>
      <protection locked="0"/>
    </xf>
    <xf numFmtId="40" fontId="62" fillId="11" borderId="11" xfId="4" applyNumberFormat="1" applyFont="1" applyFill="1" applyBorder="1" applyAlignment="1" applyProtection="1">
      <alignment horizontal="center"/>
      <protection locked="0"/>
    </xf>
    <xf numFmtId="0" fontId="26" fillId="19" borderId="11" xfId="0" applyFont="1" applyFill="1" applyBorder="1" applyAlignment="1">
      <alignment horizontal="center"/>
    </xf>
    <xf numFmtId="0" fontId="26" fillId="19" borderId="25" xfId="0" applyFont="1" applyFill="1" applyBorder="1" applyAlignment="1">
      <alignment horizontal="center"/>
    </xf>
    <xf numFmtId="165" fontId="32" fillId="0" borderId="11" xfId="4" applyFont="1" applyFill="1" applyBorder="1" applyAlignment="1">
      <alignment horizontal="left" wrapText="1"/>
    </xf>
    <xf numFmtId="0" fontId="26" fillId="17" borderId="0" xfId="0" applyFont="1" applyFill="1" applyBorder="1"/>
    <xf numFmtId="165" fontId="3" fillId="15" borderId="0" xfId="4" applyFont="1" applyFill="1"/>
    <xf numFmtId="165" fontId="52" fillId="0" borderId="0" xfId="4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65" fontId="12" fillId="0" borderId="0" xfId="4" applyFont="1" applyFill="1" applyAlignment="1">
      <alignment horizontal="center"/>
    </xf>
    <xf numFmtId="165" fontId="27" fillId="14" borderId="0" xfId="4" applyFont="1" applyFill="1" applyAlignment="1">
      <alignment horizontal="center"/>
    </xf>
  </cellXfs>
  <cellStyles count="5">
    <cellStyle name="Hyperlink" xfId="1" builtinId="8"/>
    <cellStyle name="Moeda" xfId="2" builtinId="4"/>
    <cellStyle name="Normal" xfId="0" builtinId="0"/>
    <cellStyle name="Porcentagem" xfId="3" builtinId="5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93</xdr:row>
      <xdr:rowOff>85725</xdr:rowOff>
    </xdr:from>
    <xdr:to>
      <xdr:col>19</xdr:col>
      <xdr:colOff>695325</xdr:colOff>
      <xdr:row>99</xdr:row>
      <xdr:rowOff>95250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 rot="-10799355">
          <a:off x="6877050" y="17068800"/>
          <a:ext cx="1819275" cy="101917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LÍQUIDO SALÁRIO MENSAL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11</xdr:row>
      <xdr:rowOff>57150</xdr:rowOff>
    </xdr:from>
    <xdr:to>
      <xdr:col>23</xdr:col>
      <xdr:colOff>190500</xdr:colOff>
      <xdr:row>17</xdr:row>
      <xdr:rowOff>123825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5419725" y="1905000"/>
          <a:ext cx="8105775" cy="1104900"/>
        </a:xfrm>
        <a:prstGeom prst="leftArrow">
          <a:avLst>
            <a:gd name="adj1" fmla="val 50000"/>
            <a:gd name="adj2" fmla="val 183405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FFFFFF"/>
              </a:solidFill>
              <a:latin typeface="Arial"/>
              <a:cs typeface="Arial"/>
            </a:rPr>
            <a:t>INSIRA AQUI O SEU RENDIMENTO</a:t>
          </a:r>
        </a:p>
      </xdr:txBody>
    </xdr:sp>
    <xdr:clientData/>
  </xdr:twoCellAnchor>
  <xdr:twoCellAnchor>
    <xdr:from>
      <xdr:col>7</xdr:col>
      <xdr:colOff>123825</xdr:colOff>
      <xdr:row>22</xdr:row>
      <xdr:rowOff>28575</xdr:rowOff>
    </xdr:from>
    <xdr:to>
      <xdr:col>23</xdr:col>
      <xdr:colOff>400050</xdr:colOff>
      <xdr:row>29</xdr:row>
      <xdr:rowOff>28575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5429250" y="3905250"/>
          <a:ext cx="8305800" cy="1104900"/>
        </a:xfrm>
        <a:prstGeom prst="leftArrow">
          <a:avLst>
            <a:gd name="adj1" fmla="val 50000"/>
            <a:gd name="adj2" fmla="val 187931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FFFFFF"/>
              </a:solidFill>
              <a:latin typeface="Arial"/>
              <a:cs typeface="Arial"/>
            </a:rPr>
            <a:t>ESTE É O SEU VALOR A RECOLHER NO ÚLTIMO DIA DO MÊS QUE VEM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prosp.org.br/guia_consultas.asp?mat=6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6"/>
  <sheetViews>
    <sheetView showGridLines="0" showZeros="0" tabSelected="1" zoomScale="150" zoomScaleNormal="150" workbookViewId="0">
      <selection activeCell="H9" sqref="H9"/>
    </sheetView>
  </sheetViews>
  <sheetFormatPr defaultColWidth="8" defaultRowHeight="12.75"/>
  <cols>
    <col min="1" max="1" width="8.375" style="1" customWidth="1"/>
    <col min="2" max="2" width="8" style="1"/>
    <col min="3" max="3" width="8.75" style="1" customWidth="1"/>
    <col min="4" max="4" width="8" style="1"/>
    <col min="5" max="5" width="9.5" style="1" customWidth="1"/>
    <col min="6" max="6" width="8.75" style="3" bestFit="1" customWidth="1"/>
    <col min="7" max="7" width="12.125" style="1" customWidth="1"/>
    <col min="8" max="8" width="13.25" style="1" customWidth="1"/>
    <col min="9" max="9" width="12.375" style="1" customWidth="1"/>
    <col min="10" max="14" width="8" style="1" hidden="1" customWidth="1"/>
    <col min="15" max="16" width="8" style="1"/>
    <col min="17" max="17" width="9.625" style="1" hidden="1" customWidth="1"/>
    <col min="18" max="19" width="8" style="1" hidden="1" customWidth="1"/>
    <col min="20" max="20" width="9.75" style="1" bestFit="1" customWidth="1"/>
    <col min="21" max="16384" width="8" style="1"/>
  </cols>
  <sheetData>
    <row r="2" spans="1:13" ht="20.25">
      <c r="A2" s="248" t="s">
        <v>0</v>
      </c>
      <c r="B2" s="248"/>
      <c r="C2" s="248"/>
      <c r="D2" s="248"/>
      <c r="E2" s="248"/>
      <c r="F2" s="248"/>
      <c r="G2" s="248"/>
      <c r="H2" s="248"/>
    </row>
    <row r="3" spans="1:13" s="2" customFormat="1" ht="15.75" customHeight="1">
      <c r="A3" s="240" t="s">
        <v>43</v>
      </c>
      <c r="B3" s="241"/>
      <c r="C3" s="241"/>
      <c r="D3" s="241"/>
      <c r="E3" s="241"/>
      <c r="F3" s="241"/>
      <c r="G3" s="241"/>
      <c r="H3" s="241"/>
    </row>
    <row r="4" spans="1:13" s="2" customFormat="1" ht="15.75">
      <c r="A4" s="242"/>
      <c r="B4" s="242"/>
      <c r="C4" s="242"/>
      <c r="D4" s="242"/>
      <c r="E4" s="242"/>
      <c r="F4" s="242"/>
      <c r="G4" s="242"/>
      <c r="H4" s="242"/>
      <c r="L4" s="56" t="s">
        <v>65</v>
      </c>
      <c r="M4" s="63" t="s">
        <v>66</v>
      </c>
    </row>
    <row r="5" spans="1:13" s="2" customFormat="1" ht="15.75">
      <c r="A5" s="243" t="s">
        <v>25</v>
      </c>
      <c r="B5" s="243"/>
      <c r="C5" s="243"/>
      <c r="D5" s="243"/>
      <c r="E5" s="243"/>
      <c r="F5" s="243"/>
      <c r="G5" s="243"/>
      <c r="H5" s="34">
        <v>1</v>
      </c>
      <c r="J5" s="57" t="s">
        <v>61</v>
      </c>
      <c r="K5" s="58">
        <f>IF(B20="SIM",1,0)</f>
        <v>0</v>
      </c>
      <c r="L5" s="2">
        <f>+K5</f>
        <v>0</v>
      </c>
      <c r="M5" s="61">
        <f>+K5</f>
        <v>0</v>
      </c>
    </row>
    <row r="6" spans="1:13" s="2" customFormat="1" ht="15.75">
      <c r="A6" s="243" t="s">
        <v>45</v>
      </c>
      <c r="B6" s="243"/>
      <c r="C6" s="243"/>
      <c r="D6" s="243"/>
      <c r="E6" s="243"/>
      <c r="F6" s="243"/>
      <c r="G6" s="243"/>
      <c r="H6" s="34">
        <v>1</v>
      </c>
      <c r="J6" s="57" t="s">
        <v>62</v>
      </c>
      <c r="K6" s="58">
        <f>IF(D20="SIM",1,0)</f>
        <v>0</v>
      </c>
      <c r="M6" s="61">
        <f>+K6</f>
        <v>0</v>
      </c>
    </row>
    <row r="7" spans="1:13" s="2" customFormat="1" ht="47.25" customHeight="1">
      <c r="A7" s="245" t="s">
        <v>68</v>
      </c>
      <c r="B7" s="246"/>
      <c r="C7" s="246"/>
      <c r="D7" s="246"/>
      <c r="E7" s="246"/>
      <c r="F7" s="246"/>
      <c r="G7" s="247"/>
      <c r="H7" s="69">
        <v>2</v>
      </c>
      <c r="J7" s="57"/>
      <c r="K7" s="58"/>
      <c r="M7" s="61"/>
    </row>
    <row r="8" spans="1:13" s="2" customFormat="1" ht="15.75">
      <c r="A8" s="243" t="s">
        <v>40</v>
      </c>
      <c r="B8" s="243"/>
      <c r="C8" s="243"/>
      <c r="D8" s="243"/>
      <c r="E8" s="243"/>
      <c r="F8" s="243"/>
      <c r="G8" s="243"/>
      <c r="H8" s="35">
        <v>3000</v>
      </c>
      <c r="J8" s="57" t="s">
        <v>63</v>
      </c>
      <c r="K8" s="58">
        <f>IF(F20="SIM",1,0)</f>
        <v>1</v>
      </c>
      <c r="L8" s="2">
        <f>+K8</f>
        <v>1</v>
      </c>
      <c r="M8" s="61"/>
    </row>
    <row r="9" spans="1:13" s="2" customFormat="1" ht="15.75">
      <c r="A9" s="243" t="s">
        <v>119</v>
      </c>
      <c r="B9" s="243"/>
      <c r="C9" s="243"/>
      <c r="D9" s="243"/>
      <c r="E9" s="243"/>
      <c r="F9" s="243"/>
      <c r="G9" s="243"/>
      <c r="H9" s="69">
        <v>0</v>
      </c>
      <c r="J9" s="57"/>
      <c r="K9" s="58"/>
      <c r="M9" s="61"/>
    </row>
    <row r="10" spans="1:13" s="2" customFormat="1" ht="15.75">
      <c r="A10" s="243" t="s">
        <v>120</v>
      </c>
      <c r="B10" s="243"/>
      <c r="C10" s="243"/>
      <c r="D10" s="243"/>
      <c r="E10" s="243"/>
      <c r="F10" s="243"/>
      <c r="G10" s="243"/>
      <c r="H10" s="35"/>
      <c r="J10" s="57"/>
      <c r="K10" s="58"/>
      <c r="M10" s="61"/>
    </row>
    <row r="11" spans="1:13" s="2" customFormat="1" ht="15.75">
      <c r="A11" s="244" t="s">
        <v>26</v>
      </c>
      <c r="B11" s="244"/>
      <c r="C11" s="244"/>
      <c r="D11" s="244"/>
      <c r="E11" s="244"/>
      <c r="F11" s="244"/>
      <c r="G11" s="244"/>
      <c r="H11" s="35">
        <v>8.8000000000000007</v>
      </c>
      <c r="J11" s="57" t="s">
        <v>59</v>
      </c>
      <c r="K11" s="58">
        <f>IF(H20="SIM",1,0)</f>
        <v>0</v>
      </c>
      <c r="M11" s="61"/>
    </row>
    <row r="12" spans="1:13" s="2" customFormat="1" ht="15.75">
      <c r="A12" s="255" t="s">
        <v>27</v>
      </c>
      <c r="B12" s="244"/>
      <c r="C12" s="244"/>
      <c r="D12" s="244"/>
      <c r="E12" s="244"/>
      <c r="F12" s="244"/>
      <c r="G12" s="244"/>
      <c r="H12" s="35">
        <v>20.8</v>
      </c>
      <c r="J12" s="59" t="s">
        <v>64</v>
      </c>
      <c r="K12" s="2">
        <f>SUM(K5:K11)</f>
        <v>1</v>
      </c>
      <c r="L12" s="60">
        <f>SUM(L5:L11)</f>
        <v>1</v>
      </c>
      <c r="M12" s="62">
        <f>SUM(M5:M11)</f>
        <v>0</v>
      </c>
    </row>
    <row r="13" spans="1:13" s="2" customFormat="1" ht="15.75">
      <c r="A13" s="255" t="s">
        <v>28</v>
      </c>
      <c r="B13" s="244"/>
      <c r="C13" s="244"/>
      <c r="D13" s="244"/>
      <c r="E13" s="244"/>
      <c r="F13" s="244"/>
      <c r="G13" s="244"/>
      <c r="H13" s="35"/>
    </row>
    <row r="14" spans="1:13" s="2" customFormat="1" ht="15.75">
      <c r="A14" s="256" t="s">
        <v>29</v>
      </c>
      <c r="B14" s="244"/>
      <c r="C14" s="244"/>
      <c r="D14" s="244"/>
      <c r="E14" s="244"/>
      <c r="F14" s="244"/>
      <c r="G14" s="244"/>
      <c r="H14" s="35"/>
    </row>
    <row r="15" spans="1:13" s="2" customFormat="1" ht="15.75">
      <c r="A15" s="256" t="s">
        <v>30</v>
      </c>
      <c r="B15" s="244"/>
      <c r="C15" s="244"/>
      <c r="D15" s="244"/>
      <c r="E15" s="244"/>
      <c r="F15" s="244"/>
      <c r="G15" s="244"/>
      <c r="H15" s="35"/>
    </row>
    <row r="16" spans="1:13" s="2" customFormat="1" ht="15.75">
      <c r="A16" s="256" t="s">
        <v>31</v>
      </c>
      <c r="B16" s="244"/>
      <c r="C16" s="244"/>
      <c r="D16" s="244"/>
      <c r="E16" s="244"/>
      <c r="F16" s="244"/>
      <c r="G16" s="244"/>
      <c r="H16" s="35"/>
    </row>
    <row r="17" spans="1:8" s="2" customFormat="1" ht="15.75">
      <c r="A17" s="255" t="s">
        <v>127</v>
      </c>
      <c r="B17" s="244"/>
      <c r="C17" s="244"/>
      <c r="D17" s="244"/>
      <c r="E17" s="244"/>
      <c r="F17" s="244"/>
      <c r="G17" s="244"/>
      <c r="H17" s="35"/>
    </row>
    <row r="18" spans="1:8" s="2" customFormat="1" ht="15.75">
      <c r="A18" s="255" t="s">
        <v>34</v>
      </c>
      <c r="B18" s="244"/>
      <c r="C18" s="244"/>
      <c r="D18" s="244"/>
      <c r="E18" s="244"/>
      <c r="F18" s="244"/>
      <c r="G18" s="244"/>
      <c r="H18" s="35"/>
    </row>
    <row r="19" spans="1:8" s="2" customFormat="1" ht="15.75">
      <c r="A19" s="249" t="s">
        <v>58</v>
      </c>
      <c r="B19" s="250"/>
      <c r="C19" s="250"/>
      <c r="D19" s="250"/>
      <c r="E19" s="250"/>
      <c r="F19" s="250"/>
      <c r="G19" s="250"/>
      <c r="H19" s="250"/>
    </row>
    <row r="20" spans="1:8" s="2" customFormat="1" ht="52.5">
      <c r="A20" s="65" t="s">
        <v>57</v>
      </c>
      <c r="B20" s="55" t="s">
        <v>130</v>
      </c>
      <c r="C20" s="64" t="s">
        <v>69</v>
      </c>
      <c r="D20" s="55" t="s">
        <v>130</v>
      </c>
      <c r="E20" s="64" t="s">
        <v>67</v>
      </c>
      <c r="F20" s="55" t="s">
        <v>131</v>
      </c>
      <c r="G20" s="64" t="s">
        <v>70</v>
      </c>
      <c r="H20" s="55" t="s">
        <v>130</v>
      </c>
    </row>
    <row r="21" spans="1:8" s="2" customFormat="1" ht="15.75">
      <c r="A21" s="251" t="s">
        <v>60</v>
      </c>
      <c r="B21" s="252"/>
      <c r="C21" s="252"/>
      <c r="D21" s="252"/>
      <c r="E21" s="252"/>
      <c r="F21" s="252"/>
      <c r="G21" s="252"/>
      <c r="H21" s="253"/>
    </row>
    <row r="22" spans="1:8" s="2" customFormat="1" ht="7.5" customHeight="1">
      <c r="A22" s="67"/>
      <c r="B22" s="67"/>
      <c r="C22" s="67"/>
      <c r="D22" s="67"/>
      <c r="E22" s="67"/>
      <c r="F22" s="67"/>
      <c r="G22" s="67"/>
      <c r="H22" s="67"/>
    </row>
    <row r="23" spans="1:8" s="2" customFormat="1" ht="15.75">
      <c r="A23" s="254">
        <f>IF(K12&gt;1,"ooops!!! Está com resposta repetida, favor corrigir antes de prosseguir",0)</f>
        <v>0</v>
      </c>
      <c r="B23" s="254"/>
      <c r="C23" s="254"/>
      <c r="D23" s="254"/>
      <c r="E23" s="254"/>
      <c r="F23" s="254"/>
      <c r="G23" s="254"/>
      <c r="H23" s="254"/>
    </row>
    <row r="24" spans="1:8" s="2" customFormat="1" ht="6" customHeight="1">
      <c r="A24" s="66"/>
      <c r="B24" s="66"/>
      <c r="C24" s="66"/>
      <c r="D24" s="66"/>
      <c r="E24" s="66"/>
      <c r="F24" s="66"/>
      <c r="G24" s="66"/>
      <c r="H24" s="66"/>
    </row>
    <row r="25" spans="1:8" s="2" customFormat="1" ht="20.25">
      <c r="A25" s="280" t="s">
        <v>35</v>
      </c>
      <c r="B25" s="248"/>
      <c r="C25" s="248"/>
      <c r="D25" s="248"/>
      <c r="E25" s="248"/>
      <c r="F25" s="248"/>
      <c r="G25" s="248"/>
      <c r="H25" s="248"/>
    </row>
    <row r="26" spans="1:8" ht="15.75" customHeight="1">
      <c r="A26" s="281" t="s">
        <v>1</v>
      </c>
      <c r="B26" s="282"/>
      <c r="C26" s="282"/>
      <c r="D26" s="282"/>
      <c r="E26" s="283"/>
      <c r="F26" s="287" t="s">
        <v>2</v>
      </c>
      <c r="G26" s="287"/>
      <c r="H26" s="289" t="s">
        <v>14</v>
      </c>
    </row>
    <row r="27" spans="1:8" ht="10.5" customHeight="1">
      <c r="A27" s="284"/>
      <c r="B27" s="285"/>
      <c r="C27" s="285"/>
      <c r="D27" s="285"/>
      <c r="E27" s="286"/>
      <c r="F27" s="288"/>
      <c r="G27" s="288"/>
      <c r="H27" s="290"/>
    </row>
    <row r="28" spans="1:8">
      <c r="A28" s="220" t="s">
        <v>3</v>
      </c>
      <c r="B28" s="221"/>
      <c r="C28" s="221"/>
      <c r="D28" s="221"/>
      <c r="E28" s="5"/>
      <c r="F28" s="7"/>
      <c r="G28" s="49">
        <v>1</v>
      </c>
      <c r="H28" s="36">
        <f>H5*H8</f>
        <v>3000</v>
      </c>
    </row>
    <row r="29" spans="1:8">
      <c r="A29" s="220" t="s">
        <v>54</v>
      </c>
      <c r="B29" s="221"/>
      <c r="C29" s="221"/>
      <c r="D29" s="221"/>
      <c r="E29" s="5"/>
      <c r="F29" s="7"/>
      <c r="G29" s="17">
        <f>IF(H9&gt;0,5%,0)</f>
        <v>0</v>
      </c>
      <c r="H29" s="9">
        <f>G29*H28</f>
        <v>0</v>
      </c>
    </row>
    <row r="30" spans="1:8">
      <c r="A30" s="220" t="s">
        <v>55</v>
      </c>
      <c r="B30" s="221"/>
      <c r="C30" s="221"/>
      <c r="D30" s="221"/>
      <c r="E30" s="5"/>
      <c r="F30" s="7"/>
      <c r="G30" s="10"/>
      <c r="H30" s="52">
        <f>+H10</f>
        <v>0</v>
      </c>
    </row>
    <row r="31" spans="1:8">
      <c r="A31" s="277" t="s">
        <v>122</v>
      </c>
      <c r="B31" s="225"/>
      <c r="C31" s="225"/>
      <c r="D31" s="225"/>
      <c r="E31" s="226"/>
      <c r="F31" s="8"/>
      <c r="G31" s="8">
        <f>H31/(H$28+H$29+H$30)</f>
        <v>8.3333333333333329E-2</v>
      </c>
      <c r="H31" s="12">
        <f>(H$28+H$29+H$30)/12</f>
        <v>250</v>
      </c>
    </row>
    <row r="32" spans="1:8">
      <c r="A32" s="220" t="s">
        <v>121</v>
      </c>
      <c r="B32" s="221"/>
      <c r="C32" s="221"/>
      <c r="D32" s="221"/>
      <c r="E32" s="5"/>
      <c r="F32" s="8">
        <f>+($G$28)/12</f>
        <v>8.3333333333333329E-2</v>
      </c>
      <c r="G32" s="11"/>
      <c r="H32" s="12">
        <f>(H$28+H$29+H$30)*F32</f>
        <v>250</v>
      </c>
    </row>
    <row r="33" spans="1:8">
      <c r="A33" s="220" t="s">
        <v>4</v>
      </c>
      <c r="B33" s="221"/>
      <c r="C33" s="221"/>
      <c r="D33" s="221"/>
      <c r="E33" s="5"/>
      <c r="F33" s="10">
        <f>F32/3</f>
        <v>2.7777777777777776E-2</v>
      </c>
      <c r="G33" s="13"/>
      <c r="H33" s="12">
        <f>(H$28+H$29+H$30)*F33</f>
        <v>83.333333333333329</v>
      </c>
    </row>
    <row r="34" spans="1:8" ht="12.75" customHeight="1">
      <c r="A34" s="54" t="s">
        <v>46</v>
      </c>
      <c r="B34" s="53"/>
      <c r="C34" s="53"/>
      <c r="D34" s="53"/>
      <c r="E34" s="68">
        <f>IF(H6&gt;12,(H28+H29+H30)/H6,(H28+H29+H30)/12)</f>
        <v>250</v>
      </c>
      <c r="F34" s="8"/>
      <c r="G34" s="8">
        <f>H34/(H$28+H$29+H$30)</f>
        <v>8.3333333333333329E-2</v>
      </c>
      <c r="H34" s="9">
        <f>IF(H7=2,E34,0)</f>
        <v>250</v>
      </c>
    </row>
    <row r="35" spans="1:8" ht="12.75" customHeight="1">
      <c r="A35" s="167" t="s">
        <v>117</v>
      </c>
      <c r="B35" s="53"/>
      <c r="C35" s="53"/>
      <c r="D35" s="53"/>
      <c r="E35" s="68"/>
      <c r="F35" s="8"/>
      <c r="G35" s="8">
        <f>H35/(H$28+H$29+H$30)</f>
        <v>0</v>
      </c>
      <c r="H35" s="12">
        <f>IF(H6&gt;11,((H$28+H$29+H$30)/10/12)/12*H6,0)</f>
        <v>0</v>
      </c>
    </row>
    <row r="36" spans="1:8" ht="12.75" customHeight="1">
      <c r="A36" s="224" t="s">
        <v>47</v>
      </c>
      <c r="B36" s="225"/>
      <c r="C36" s="225"/>
      <c r="D36" s="225"/>
      <c r="E36" s="226"/>
      <c r="F36" s="8"/>
      <c r="G36" s="8">
        <f>H36/(H$28+H$29+H$30)</f>
        <v>1.6203703703703706E-2</v>
      </c>
      <c r="H36" s="9">
        <f>IF(H7=1,0,(H31+H32+H33)/12)</f>
        <v>48.611111111111114</v>
      </c>
    </row>
    <row r="37" spans="1:8">
      <c r="A37" s="220" t="s">
        <v>5</v>
      </c>
      <c r="B37" s="221"/>
      <c r="C37" s="221"/>
      <c r="D37" s="221"/>
      <c r="E37" s="5"/>
      <c r="F37" s="15">
        <f>0.08*G28</f>
        <v>0.08</v>
      </c>
      <c r="G37" s="11"/>
      <c r="H37" s="14"/>
    </row>
    <row r="38" spans="1:8">
      <c r="A38" s="220" t="s">
        <v>6</v>
      </c>
      <c r="B38" s="221"/>
      <c r="C38" s="221"/>
      <c r="D38" s="221"/>
      <c r="E38" s="5"/>
      <c r="F38" s="15">
        <f>F37*G31</f>
        <v>6.6666666666666662E-3</v>
      </c>
      <c r="G38" s="11"/>
      <c r="H38" s="12"/>
    </row>
    <row r="39" spans="1:8" ht="12.75" customHeight="1">
      <c r="A39" s="220" t="s">
        <v>7</v>
      </c>
      <c r="B39" s="221"/>
      <c r="C39" s="221"/>
      <c r="D39" s="221"/>
      <c r="E39" s="223"/>
      <c r="F39" s="15">
        <f>(F32+F33)*F37</f>
        <v>8.8888888888888889E-3</v>
      </c>
      <c r="G39" s="11"/>
      <c r="H39" s="12"/>
    </row>
    <row r="40" spans="1:8">
      <c r="A40" s="220" t="s">
        <v>8</v>
      </c>
      <c r="B40" s="221"/>
      <c r="C40" s="221"/>
      <c r="D40" s="221"/>
      <c r="E40" s="223"/>
      <c r="F40" s="15">
        <f>F37*(G34+G35+G36)</f>
        <v>7.9629629629629634E-3</v>
      </c>
      <c r="G40" s="11"/>
      <c r="H40" s="12"/>
    </row>
    <row r="41" spans="1:8">
      <c r="A41" s="220" t="s">
        <v>123</v>
      </c>
      <c r="B41" s="221"/>
      <c r="C41" s="221"/>
      <c r="D41" s="221"/>
      <c r="E41" s="172">
        <v>0.4</v>
      </c>
      <c r="F41" s="15">
        <f>(F37+F38+F39+F40)*E41</f>
        <v>4.1407407407407414E-2</v>
      </c>
      <c r="G41" s="16">
        <f>SUM(F37:F41)</f>
        <v>0.14492592592592593</v>
      </c>
      <c r="H41" s="12">
        <f>+G41*(H28+H29+H30)</f>
        <v>434.77777777777777</v>
      </c>
    </row>
    <row r="42" spans="1:8">
      <c r="A42" s="220" t="s">
        <v>9</v>
      </c>
      <c r="B42" s="221"/>
      <c r="C42" s="221"/>
      <c r="D42" s="221"/>
      <c r="E42" s="5"/>
      <c r="F42" s="10">
        <f>IF(L12=0,20%,0)</f>
        <v>0</v>
      </c>
      <c r="G42" s="10">
        <f>+F42*(G$28+G$31+G$33+G34)</f>
        <v>0</v>
      </c>
      <c r="H42" s="12"/>
    </row>
    <row r="43" spans="1:8">
      <c r="A43" s="220" t="s">
        <v>10</v>
      </c>
      <c r="B43" s="221"/>
      <c r="C43" s="221"/>
      <c r="D43" s="221"/>
      <c r="E43" s="5"/>
      <c r="F43" s="17">
        <v>0.01</v>
      </c>
      <c r="G43" s="10">
        <f>IF(L12=0,(F43*(G$28+G$31+G$33+G34)),0)</f>
        <v>0</v>
      </c>
      <c r="H43" s="12"/>
    </row>
    <row r="44" spans="1:8">
      <c r="A44" s="220" t="s">
        <v>11</v>
      </c>
      <c r="B44" s="221"/>
      <c r="C44" s="221"/>
      <c r="D44" s="221"/>
      <c r="E44" s="5"/>
      <c r="F44" s="17">
        <v>2.5000000000000001E-2</v>
      </c>
      <c r="G44" s="10">
        <f>IF(L12=0,(F44*(G$28+G$31+G$33+G34)),0)</f>
        <v>0</v>
      </c>
      <c r="H44" s="12"/>
    </row>
    <row r="45" spans="1:8">
      <c r="A45" s="220" t="s">
        <v>12</v>
      </c>
      <c r="B45" s="221"/>
      <c r="C45" s="221"/>
      <c r="D45" s="221"/>
      <c r="E45" s="5"/>
      <c r="F45" s="10">
        <f>IF(L12=0,0.2%,0)</f>
        <v>0</v>
      </c>
      <c r="G45" s="10">
        <f>+F45*(G$28+G$31+G$33+G34)</f>
        <v>0</v>
      </c>
      <c r="H45" s="12"/>
    </row>
    <row r="46" spans="1:8">
      <c r="A46" s="227" t="s">
        <v>42</v>
      </c>
      <c r="B46" s="221"/>
      <c r="C46" s="221"/>
      <c r="D46" s="221"/>
      <c r="E46" s="5"/>
      <c r="F46" s="10">
        <f>IF(L12=0,1.5%,0)</f>
        <v>0</v>
      </c>
      <c r="G46" s="10">
        <f>+F46*(G$28+G$31+G$33+G34)</f>
        <v>0</v>
      </c>
      <c r="H46" s="12"/>
    </row>
    <row r="47" spans="1:8">
      <c r="A47" s="220" t="s">
        <v>13</v>
      </c>
      <c r="B47" s="221"/>
      <c r="C47" s="221"/>
      <c r="D47" s="221"/>
      <c r="E47" s="5"/>
      <c r="F47" s="10">
        <f>IF(L12=0,(0.6%),0)</f>
        <v>0</v>
      </c>
      <c r="G47" s="10">
        <f>+F47*(G$28+G$31+G$33+G34)</f>
        <v>0</v>
      </c>
      <c r="H47" s="12"/>
    </row>
    <row r="48" spans="1:8" ht="12.75" customHeight="1">
      <c r="A48" s="227" t="s">
        <v>41</v>
      </c>
      <c r="B48" s="221"/>
      <c r="C48" s="221"/>
      <c r="D48" s="221"/>
      <c r="E48" s="5"/>
      <c r="F48" s="10">
        <f>IF(L12=0,1%,0)</f>
        <v>0</v>
      </c>
      <c r="G48" s="10">
        <f>+F48*(G$28+G$31+G$33+G34)</f>
        <v>0</v>
      </c>
      <c r="H48" s="12">
        <f>(G42+G43+G44+G45+G47+G48)*(H28+H29+H30+H31+H33+H34)</f>
        <v>0</v>
      </c>
    </row>
    <row r="49" spans="1:20" ht="12.75" customHeight="1">
      <c r="A49" s="222" t="s">
        <v>21</v>
      </c>
      <c r="B49" s="221"/>
      <c r="C49" s="221"/>
      <c r="D49" s="221"/>
      <c r="E49" s="223"/>
      <c r="F49" s="18"/>
      <c r="G49" s="41">
        <v>0.01</v>
      </c>
      <c r="H49" s="20">
        <f>IF(K11=1,((H28++H29+H30+H31+H33+H34)*G49),0)</f>
        <v>0</v>
      </c>
    </row>
    <row r="50" spans="1:20" ht="12.75" customHeight="1">
      <c r="A50" s="220" t="s">
        <v>56</v>
      </c>
      <c r="B50" s="221"/>
      <c r="C50" s="221"/>
      <c r="D50" s="221"/>
      <c r="E50" s="223"/>
      <c r="F50" s="18"/>
      <c r="G50" s="41"/>
      <c r="H50" s="20">
        <f>IF(M12=1,(G50*H28),0)</f>
        <v>0</v>
      </c>
    </row>
    <row r="51" spans="1:20">
      <c r="A51" s="232" t="s">
        <v>124</v>
      </c>
      <c r="B51" s="232"/>
      <c r="C51" s="232"/>
      <c r="D51" s="232"/>
      <c r="E51" s="232"/>
      <c r="F51" s="233"/>
      <c r="G51" s="19">
        <f>H51/(H28+H29+H30)</f>
        <v>0.43890740740740741</v>
      </c>
      <c r="H51" s="30">
        <f>SUM(H31:H50)</f>
        <v>1316.7222222222222</v>
      </c>
    </row>
    <row r="52" spans="1:20" ht="15.75" customHeight="1">
      <c r="A52" s="21"/>
      <c r="B52" s="22"/>
      <c r="C52" s="22"/>
      <c r="D52" s="22"/>
      <c r="E52" s="22"/>
      <c r="F52" s="22"/>
      <c r="G52" s="22"/>
      <c r="H52" s="234"/>
      <c r="I52" s="234"/>
    </row>
    <row r="53" spans="1:20" ht="15.75" customHeight="1">
      <c r="A53" s="228"/>
      <c r="B53" s="228"/>
      <c r="C53" s="228"/>
      <c r="D53" s="228"/>
      <c r="E53" s="228"/>
      <c r="F53" s="228"/>
      <c r="G53" s="228"/>
      <c r="H53" s="228"/>
    </row>
    <row r="54" spans="1:20" ht="20.25">
      <c r="A54" s="231" t="s">
        <v>36</v>
      </c>
      <c r="B54" s="231"/>
      <c r="C54" s="231"/>
      <c r="D54" s="231"/>
      <c r="E54" s="231"/>
      <c r="F54" s="231"/>
      <c r="G54" s="231"/>
      <c r="H54" s="231"/>
      <c r="I54" s="231"/>
    </row>
    <row r="55" spans="1:20">
      <c r="A55" s="44" t="s">
        <v>18</v>
      </c>
      <c r="B55" s="45"/>
      <c r="C55" s="45"/>
      <c r="D55" s="45"/>
      <c r="E55" s="48" t="s">
        <v>53</v>
      </c>
      <c r="F55" s="4" t="s">
        <v>16</v>
      </c>
      <c r="G55" s="4" t="s">
        <v>17</v>
      </c>
      <c r="H55" s="4" t="s">
        <v>50</v>
      </c>
      <c r="I55" s="4" t="s">
        <v>51</v>
      </c>
    </row>
    <row r="56" spans="1:20">
      <c r="A56" s="227" t="s">
        <v>125</v>
      </c>
      <c r="B56" s="221"/>
      <c r="C56" s="221"/>
      <c r="D56" s="221"/>
      <c r="E56" s="223"/>
      <c r="F56" s="23">
        <f>H5</f>
        <v>1</v>
      </c>
      <c r="G56" s="29">
        <f>H8+H29+H30</f>
        <v>3000</v>
      </c>
      <c r="H56" s="46"/>
      <c r="I56" s="20">
        <f>+G56*F56</f>
        <v>3000</v>
      </c>
    </row>
    <row r="57" spans="1:20">
      <c r="A57" s="227" t="s">
        <v>37</v>
      </c>
      <c r="B57" s="221"/>
      <c r="C57" s="221"/>
      <c r="D57" s="221"/>
      <c r="E57" s="223"/>
      <c r="F57" s="23"/>
      <c r="G57" s="29"/>
      <c r="H57" s="46"/>
      <c r="I57" s="20">
        <f>H51</f>
        <v>1316.7222222222222</v>
      </c>
      <c r="R57" s="1" t="s">
        <v>111</v>
      </c>
    </row>
    <row r="58" spans="1:20">
      <c r="A58" s="42" t="s">
        <v>15</v>
      </c>
      <c r="B58" s="43"/>
      <c r="C58" s="43"/>
      <c r="D58" s="43"/>
      <c r="E58" s="71">
        <v>22</v>
      </c>
      <c r="F58" s="23">
        <f>H5</f>
        <v>1</v>
      </c>
      <c r="G58" s="29">
        <f>H12</f>
        <v>20.8</v>
      </c>
      <c r="H58" s="70"/>
      <c r="I58" s="20">
        <f>((E58*F58*G58)-((E58*F58*G58)*H58))</f>
        <v>457.6</v>
      </c>
      <c r="Q58" s="1" t="s">
        <v>109</v>
      </c>
      <c r="R58" s="1" t="s">
        <v>110</v>
      </c>
      <c r="T58" s="176">
        <f>+E58*G58</f>
        <v>457.6</v>
      </c>
    </row>
    <row r="59" spans="1:20" ht="15.75" customHeight="1">
      <c r="A59" s="229" t="s">
        <v>52</v>
      </c>
      <c r="B59" s="230"/>
      <c r="C59" s="230"/>
      <c r="D59" s="230"/>
      <c r="E59" s="72">
        <v>22</v>
      </c>
      <c r="F59" s="23">
        <f>H5</f>
        <v>1</v>
      </c>
      <c r="G59" s="29">
        <f>H11</f>
        <v>8.8000000000000007</v>
      </c>
      <c r="H59" s="70">
        <v>0.06</v>
      </c>
      <c r="I59" s="20">
        <f>IF((Q59-R59)&gt;0,(Q59-R59),0)</f>
        <v>13.600000000000023</v>
      </c>
      <c r="Q59" s="164">
        <f>E59*G59</f>
        <v>193.60000000000002</v>
      </c>
      <c r="R59" s="165">
        <f>+H59*I56</f>
        <v>180</v>
      </c>
      <c r="S59" s="1">
        <f>IF(Q59&gt;R59,R59,Q59)</f>
        <v>180</v>
      </c>
    </row>
    <row r="60" spans="1:20">
      <c r="A60" s="220" t="s">
        <v>19</v>
      </c>
      <c r="B60" s="221"/>
      <c r="C60" s="221"/>
      <c r="D60" s="221"/>
      <c r="E60" s="223"/>
      <c r="F60" s="23">
        <f>H5</f>
        <v>1</v>
      </c>
      <c r="G60" s="29">
        <f t="shared" ref="G60:G65" si="0">H13</f>
        <v>0</v>
      </c>
      <c r="H60" s="46">
        <f>+F60*E60</f>
        <v>0</v>
      </c>
      <c r="I60" s="20">
        <f>+G60*F60</f>
        <v>0</v>
      </c>
    </row>
    <row r="61" spans="1:20">
      <c r="A61" s="227" t="s">
        <v>32</v>
      </c>
      <c r="B61" s="221"/>
      <c r="C61" s="221"/>
      <c r="D61" s="221"/>
      <c r="E61" s="223"/>
      <c r="F61" s="23"/>
      <c r="G61" s="29">
        <f t="shared" si="0"/>
        <v>0</v>
      </c>
      <c r="H61" s="70"/>
      <c r="I61" s="20">
        <f>+G61-H94</f>
        <v>0</v>
      </c>
    </row>
    <row r="62" spans="1:20">
      <c r="A62" s="220" t="s">
        <v>20</v>
      </c>
      <c r="B62" s="221"/>
      <c r="C62" s="221"/>
      <c r="D62" s="221"/>
      <c r="E62" s="223"/>
      <c r="F62" s="23"/>
      <c r="G62" s="29">
        <f t="shared" si="0"/>
        <v>0</v>
      </c>
      <c r="H62" s="162"/>
      <c r="I62" s="20">
        <f>G62*H62</f>
        <v>0</v>
      </c>
    </row>
    <row r="63" spans="1:20">
      <c r="A63" s="220" t="s">
        <v>33</v>
      </c>
      <c r="B63" s="221"/>
      <c r="C63" s="221"/>
      <c r="D63" s="221"/>
      <c r="E63" s="223"/>
      <c r="F63" s="23"/>
      <c r="G63" s="29">
        <f t="shared" si="0"/>
        <v>0</v>
      </c>
      <c r="H63" s="70"/>
      <c r="I63" s="20">
        <f>+G63-H95</f>
        <v>0</v>
      </c>
      <c r="P63" s="170">
        <f>+G63*H63</f>
        <v>0</v>
      </c>
    </row>
    <row r="64" spans="1:20">
      <c r="A64" s="220"/>
      <c r="B64" s="221"/>
      <c r="C64" s="221"/>
      <c r="D64" s="221"/>
      <c r="E64" s="223"/>
      <c r="F64" s="23"/>
      <c r="G64" s="29">
        <f t="shared" si="0"/>
        <v>0</v>
      </c>
      <c r="H64" s="46">
        <f>+F64*E64</f>
        <v>0</v>
      </c>
      <c r="I64" s="20">
        <f>G64*H64</f>
        <v>0</v>
      </c>
    </row>
    <row r="65" spans="1:9">
      <c r="A65" s="263" t="s">
        <v>49</v>
      </c>
      <c r="B65" s="264"/>
      <c r="C65" s="264"/>
      <c r="D65" s="264"/>
      <c r="E65" s="265"/>
      <c r="F65" s="23"/>
      <c r="G65" s="29">
        <f t="shared" si="0"/>
        <v>0</v>
      </c>
      <c r="H65" s="46">
        <f>+F65*E56</f>
        <v>0</v>
      </c>
      <c r="I65" s="20">
        <f>+G65*F56</f>
        <v>0</v>
      </c>
    </row>
    <row r="66" spans="1:9" ht="13.5" thickBot="1">
      <c r="A66" s="261"/>
      <c r="B66" s="228"/>
      <c r="C66" s="228"/>
      <c r="D66" s="228"/>
      <c r="E66" s="262"/>
      <c r="F66" s="37"/>
      <c r="G66" s="38"/>
      <c r="H66" s="47">
        <f>+F66*E66</f>
        <v>0</v>
      </c>
      <c r="I66" s="31">
        <f>+G66*F66</f>
        <v>0</v>
      </c>
    </row>
    <row r="67" spans="1:9" ht="15.75" customHeight="1" thickTop="1" thickBot="1">
      <c r="A67" s="257" t="s">
        <v>24</v>
      </c>
      <c r="B67" s="258"/>
      <c r="C67" s="258"/>
      <c r="D67" s="258"/>
      <c r="E67" s="258"/>
      <c r="F67" s="258"/>
      <c r="G67" s="259"/>
      <c r="H67" s="50"/>
      <c r="I67" s="32">
        <f>SUM(I56:I66)</f>
        <v>4787.9222222222234</v>
      </c>
    </row>
    <row r="68" spans="1:9" ht="15.75" customHeight="1" thickTop="1">
      <c r="A68" s="235" t="s">
        <v>38</v>
      </c>
      <c r="B68" s="236"/>
      <c r="C68" s="236"/>
      <c r="D68" s="236"/>
      <c r="E68" s="236"/>
      <c r="F68" s="237"/>
      <c r="G68" s="33"/>
      <c r="H68" s="24">
        <f>+F68*H67</f>
        <v>0</v>
      </c>
      <c r="I68" s="24">
        <f>+G68*I67</f>
        <v>0</v>
      </c>
    </row>
    <row r="69" spans="1:9" ht="15.75" customHeight="1">
      <c r="A69" s="238" t="s">
        <v>48</v>
      </c>
      <c r="B69" s="239"/>
      <c r="C69" s="239"/>
      <c r="D69" s="239"/>
      <c r="E69" s="239"/>
      <c r="F69" s="239"/>
      <c r="G69" s="39"/>
      <c r="H69" s="24">
        <f>H67*F69</f>
        <v>0</v>
      </c>
      <c r="I69" s="24">
        <f>I67*G69</f>
        <v>0</v>
      </c>
    </row>
    <row r="70" spans="1:9" ht="15.75" hidden="1" customHeight="1">
      <c r="A70" s="220" t="s">
        <v>22</v>
      </c>
      <c r="B70" s="221"/>
      <c r="C70" s="221"/>
      <c r="D70" s="221"/>
      <c r="E70" s="221"/>
      <c r="F70" s="221"/>
      <c r="G70" s="223"/>
      <c r="H70" s="25"/>
      <c r="I70" s="25">
        <f>SUM(I67:I69)</f>
        <v>4787.9222222222234</v>
      </c>
    </row>
    <row r="71" spans="1:9" ht="15.75" hidden="1" customHeight="1">
      <c r="A71" s="272" t="s">
        <v>39</v>
      </c>
      <c r="B71" s="273"/>
      <c r="C71" s="273"/>
      <c r="D71" s="273"/>
      <c r="E71" s="273"/>
      <c r="F71" s="274"/>
      <c r="G71" s="33"/>
      <c r="H71" s="24">
        <f>H70-(H70*(100%-F71))</f>
        <v>0</v>
      </c>
      <c r="I71" s="24">
        <f>I70-(I70*(100%-G71))</f>
        <v>0</v>
      </c>
    </row>
    <row r="72" spans="1:9" ht="15.75" customHeight="1">
      <c r="A72" s="220" t="s">
        <v>23</v>
      </c>
      <c r="B72" s="221"/>
      <c r="C72" s="221"/>
      <c r="D72" s="221"/>
      <c r="E72" s="221"/>
      <c r="F72" s="221"/>
      <c r="G72" s="40">
        <f>(I72/(H28+H29+H30))-1</f>
        <v>0.59597407407407443</v>
      </c>
      <c r="H72" s="51"/>
      <c r="I72" s="24">
        <f>+I70+I71</f>
        <v>4787.9222222222234</v>
      </c>
    </row>
    <row r="73" spans="1:9">
      <c r="A73" s="219">
        <f>IF(K12&gt;1, "ESTA PLANILHA ESTÁ CALCULANDO ERRADO, FAVOR CORRIJA A SUA INFORMAÇÃO SOBRE O TIPO DE EMPREGADOR",0)</f>
        <v>0</v>
      </c>
      <c r="B73" s="219"/>
      <c r="C73" s="219"/>
      <c r="D73" s="219"/>
      <c r="E73" s="219"/>
      <c r="F73" s="219"/>
      <c r="G73" s="219"/>
      <c r="H73" s="219"/>
      <c r="I73" s="219"/>
    </row>
    <row r="74" spans="1:9">
      <c r="A74" s="27"/>
      <c r="B74" s="6"/>
      <c r="C74" s="6"/>
      <c r="D74" s="6"/>
      <c r="E74" s="6"/>
      <c r="F74" s="26"/>
      <c r="G74" s="6"/>
      <c r="H74" s="28"/>
    </row>
    <row r="75" spans="1:9">
      <c r="A75" s="6"/>
      <c r="B75" s="6"/>
      <c r="C75" s="6"/>
      <c r="D75" s="6"/>
      <c r="E75" s="6"/>
      <c r="F75" s="26"/>
      <c r="G75" s="6"/>
      <c r="H75" s="6"/>
    </row>
    <row r="76" spans="1:9" ht="20.25">
      <c r="A76" s="231" t="s">
        <v>71</v>
      </c>
      <c r="B76" s="231"/>
      <c r="C76" s="231"/>
      <c r="D76" s="231"/>
      <c r="E76" s="231"/>
      <c r="F76" s="231"/>
      <c r="G76" s="231"/>
      <c r="H76" s="231"/>
      <c r="I76" s="231"/>
    </row>
    <row r="77" spans="1:9" ht="12.75" customHeight="1">
      <c r="A77" s="220" t="str">
        <f>A72</f>
        <v>TOTAL GERAL DO CONTRATO - II</v>
      </c>
      <c r="B77" s="221"/>
      <c r="C77" s="221"/>
      <c r="D77" s="221"/>
      <c r="E77" s="5"/>
      <c r="F77" s="10">
        <f>G72</f>
        <v>0.59597407407407443</v>
      </c>
      <c r="G77" s="266" t="s">
        <v>77</v>
      </c>
      <c r="H77" s="267"/>
      <c r="I77" s="268"/>
    </row>
    <row r="78" spans="1:9">
      <c r="A78" s="220" t="s">
        <v>72</v>
      </c>
      <c r="B78" s="221"/>
      <c r="C78" s="221"/>
      <c r="D78" s="221"/>
      <c r="E78" s="5"/>
      <c r="F78" s="10">
        <v>0.2319</v>
      </c>
      <c r="G78" s="269"/>
      <c r="H78" s="270"/>
      <c r="I78" s="271"/>
    </row>
    <row r="79" spans="1:9">
      <c r="A79" s="220" t="s">
        <v>73</v>
      </c>
      <c r="B79" s="221"/>
      <c r="C79" s="221"/>
      <c r="D79" s="221"/>
      <c r="E79" s="5"/>
      <c r="F79" s="10">
        <v>4.3400000000000001E-2</v>
      </c>
      <c r="G79" s="269"/>
      <c r="H79" s="270"/>
      <c r="I79" s="271"/>
    </row>
    <row r="80" spans="1:9">
      <c r="A80" s="220" t="s">
        <v>74</v>
      </c>
      <c r="B80" s="221"/>
      <c r="C80" s="221"/>
      <c r="D80" s="221"/>
      <c r="E80" s="5"/>
      <c r="F80" s="10">
        <v>1.9E-2</v>
      </c>
      <c r="G80" s="269"/>
      <c r="H80" s="270"/>
      <c r="I80" s="271"/>
    </row>
    <row r="81" spans="1:9">
      <c r="A81" s="220" t="s">
        <v>75</v>
      </c>
      <c r="B81" s="221"/>
      <c r="C81" s="221"/>
      <c r="D81" s="221"/>
      <c r="E81" s="5"/>
      <c r="F81" s="10">
        <v>2.0000000000000001E-4</v>
      </c>
      <c r="G81" s="73"/>
      <c r="H81" s="74"/>
      <c r="I81" s="75"/>
    </row>
    <row r="82" spans="1:9" ht="13.5">
      <c r="A82" s="220" t="s">
        <v>76</v>
      </c>
      <c r="B82" s="221"/>
      <c r="C82" s="221"/>
      <c r="D82" s="221"/>
      <c r="E82" s="5"/>
      <c r="F82" s="76">
        <f>SUM(F77:F81)</f>
        <v>0.89047407407407442</v>
      </c>
      <c r="G82" s="278" t="s">
        <v>78</v>
      </c>
      <c r="H82" s="279"/>
      <c r="I82" s="77">
        <f>((H28+H29+H30)*F82)+(H28+H29+H30)</f>
        <v>5671.4222222222234</v>
      </c>
    </row>
    <row r="86" spans="1:9" ht="20.25">
      <c r="A86" s="275" t="s">
        <v>106</v>
      </c>
      <c r="B86" s="276"/>
      <c r="C86" s="276"/>
      <c r="D86" s="276"/>
      <c r="E86" s="276"/>
      <c r="F86" s="276"/>
      <c r="G86" s="276"/>
      <c r="H86" s="276"/>
      <c r="I86" s="276"/>
    </row>
    <row r="87" spans="1:9">
      <c r="A87" s="44" t="s">
        <v>18</v>
      </c>
      <c r="B87" s="45"/>
      <c r="C87" s="45"/>
      <c r="D87" s="45"/>
      <c r="E87" s="48" t="s">
        <v>53</v>
      </c>
      <c r="F87" s="4" t="s">
        <v>16</v>
      </c>
      <c r="G87" s="4" t="s">
        <v>107</v>
      </c>
      <c r="H87" s="4" t="s">
        <v>50</v>
      </c>
      <c r="I87" s="4" t="s">
        <v>51</v>
      </c>
    </row>
    <row r="88" spans="1:9">
      <c r="A88" s="227" t="s">
        <v>44</v>
      </c>
      <c r="B88" s="221"/>
      <c r="C88" s="221"/>
      <c r="D88" s="221"/>
      <c r="E88" s="223"/>
      <c r="F88" s="23">
        <f>H40</f>
        <v>0</v>
      </c>
      <c r="G88" s="29">
        <f>H8</f>
        <v>3000</v>
      </c>
      <c r="H88" s="46"/>
      <c r="I88" s="20"/>
    </row>
    <row r="89" spans="1:9">
      <c r="A89" s="222" t="s">
        <v>126</v>
      </c>
      <c r="B89" s="221"/>
      <c r="C89" s="221"/>
      <c r="D89" s="221"/>
      <c r="E89" s="223"/>
      <c r="F89" s="23"/>
      <c r="G89" s="29">
        <f>+H29+H30</f>
        <v>0</v>
      </c>
      <c r="H89" s="46"/>
      <c r="I89" s="20"/>
    </row>
    <row r="90" spans="1:9">
      <c r="A90" s="222" t="s">
        <v>108</v>
      </c>
      <c r="B90" s="221"/>
      <c r="C90" s="221"/>
      <c r="D90" s="221"/>
      <c r="E90" s="223"/>
      <c r="F90" s="23"/>
      <c r="G90" s="29"/>
      <c r="H90" s="46">
        <f>Plan1!E16</f>
        <v>277.39999999999998</v>
      </c>
      <c r="I90" s="20"/>
    </row>
    <row r="91" spans="1:9">
      <c r="A91" s="42" t="s">
        <v>116</v>
      </c>
      <c r="B91" s="43"/>
      <c r="C91" s="43"/>
      <c r="D91" s="43"/>
      <c r="E91" s="160"/>
      <c r="F91" s="23">
        <f>H40</f>
        <v>0</v>
      </c>
      <c r="G91" s="29"/>
      <c r="H91" s="163">
        <f>IF(I58&gt;0,(T58*H58),T58)</f>
        <v>0</v>
      </c>
      <c r="I91" s="20"/>
    </row>
    <row r="92" spans="1:9">
      <c r="A92" s="260" t="s">
        <v>113</v>
      </c>
      <c r="B92" s="230"/>
      <c r="C92" s="230"/>
      <c r="D92" s="230"/>
      <c r="E92" s="161"/>
      <c r="F92" s="23">
        <f>H40</f>
        <v>0</v>
      </c>
      <c r="G92" s="29"/>
      <c r="H92" s="163">
        <f>+S59</f>
        <v>180</v>
      </c>
      <c r="I92" s="20"/>
    </row>
    <row r="93" spans="1:9">
      <c r="A93" s="220" t="s">
        <v>112</v>
      </c>
      <c r="B93" s="221"/>
      <c r="C93" s="221"/>
      <c r="D93" s="221"/>
      <c r="E93" s="223"/>
      <c r="F93" s="23">
        <f>H40</f>
        <v>0</v>
      </c>
      <c r="G93" s="29"/>
      <c r="H93" s="46">
        <f>Plan1!G26</f>
        <v>61.394999999999982</v>
      </c>
      <c r="I93" s="20"/>
    </row>
    <row r="94" spans="1:9">
      <c r="A94" s="222" t="s">
        <v>114</v>
      </c>
      <c r="B94" s="221"/>
      <c r="C94" s="221"/>
      <c r="D94" s="221"/>
      <c r="E94" s="223"/>
      <c r="F94" s="23">
        <f>H40</f>
        <v>0</v>
      </c>
      <c r="G94" s="29"/>
      <c r="H94" s="46">
        <f>IF(H61&gt;0,(H61*G61),0)</f>
        <v>0</v>
      </c>
      <c r="I94" s="20"/>
    </row>
    <row r="95" spans="1:9">
      <c r="A95" s="220" t="s">
        <v>33</v>
      </c>
      <c r="B95" s="221"/>
      <c r="C95" s="221"/>
      <c r="D95" s="221"/>
      <c r="E95" s="223"/>
      <c r="F95" s="23">
        <f>H40</f>
        <v>0</v>
      </c>
      <c r="G95" s="29"/>
      <c r="H95" s="46">
        <f>IF(H63&gt;0,(H63*G63),0)</f>
        <v>0</v>
      </c>
      <c r="I95" s="20"/>
    </row>
    <row r="96" spans="1:9" ht="13.5" thickBot="1">
      <c r="A96" s="261" t="s">
        <v>118</v>
      </c>
      <c r="B96" s="228"/>
      <c r="C96" s="228"/>
      <c r="D96" s="228"/>
      <c r="E96" s="262"/>
      <c r="F96" s="171">
        <v>0.4</v>
      </c>
      <c r="G96" s="38"/>
      <c r="H96" s="168">
        <f>+G88*F96</f>
        <v>1200</v>
      </c>
      <c r="I96" s="31"/>
    </row>
    <row r="97" spans="1:9" ht="14.25" thickTop="1" thickBot="1">
      <c r="A97" s="257" t="s">
        <v>115</v>
      </c>
      <c r="B97" s="258"/>
      <c r="C97" s="258"/>
      <c r="D97" s="258"/>
      <c r="E97" s="258"/>
      <c r="F97" s="258"/>
      <c r="G97" s="259"/>
      <c r="H97" s="166">
        <f>SUM(H90:H96)</f>
        <v>1718.7950000000001</v>
      </c>
      <c r="I97" s="169">
        <f>+G88+G89-H97</f>
        <v>1281.2049999999999</v>
      </c>
    </row>
    <row r="98" spans="1:9" ht="13.5" thickTop="1"/>
    <row r="105" spans="1:9">
      <c r="A105" s="1" t="s">
        <v>129</v>
      </c>
    </row>
    <row r="106" spans="1:9" ht="15.75">
      <c r="A106" s="173" t="s">
        <v>128</v>
      </c>
    </row>
  </sheetData>
  <mergeCells count="84">
    <mergeCell ref="A28:D28"/>
    <mergeCell ref="A16:G16"/>
    <mergeCell ref="A17:G17"/>
    <mergeCell ref="A18:G18"/>
    <mergeCell ref="A25:H25"/>
    <mergeCell ref="A26:E27"/>
    <mergeCell ref="F26:G27"/>
    <mergeCell ref="H26:H27"/>
    <mergeCell ref="A31:E31"/>
    <mergeCell ref="A37:D37"/>
    <mergeCell ref="A38:D38"/>
    <mergeCell ref="A39:E39"/>
    <mergeCell ref="G82:H82"/>
    <mergeCell ref="A78:D78"/>
    <mergeCell ref="A79:D79"/>
    <mergeCell ref="A89:E89"/>
    <mergeCell ref="A88:E88"/>
    <mergeCell ref="A45:D45"/>
    <mergeCell ref="A60:E60"/>
    <mergeCell ref="A65:E65"/>
    <mergeCell ref="A66:E66"/>
    <mergeCell ref="A67:G67"/>
    <mergeCell ref="A61:E61"/>
    <mergeCell ref="A77:D77"/>
    <mergeCell ref="G77:I80"/>
    <mergeCell ref="A71:F71"/>
    <mergeCell ref="A86:I86"/>
    <mergeCell ref="A76:I76"/>
    <mergeCell ref="A97:G97"/>
    <mergeCell ref="A94:E94"/>
    <mergeCell ref="A95:E95"/>
    <mergeCell ref="A90:E90"/>
    <mergeCell ref="A92:D92"/>
    <mergeCell ref="A93:E93"/>
    <mergeCell ref="A96:E96"/>
    <mergeCell ref="A2:H2"/>
    <mergeCell ref="A19:H19"/>
    <mergeCell ref="A21:H21"/>
    <mergeCell ref="A23:H23"/>
    <mergeCell ref="A9:G9"/>
    <mergeCell ref="A10:G10"/>
    <mergeCell ref="A12:G12"/>
    <mergeCell ref="A13:G13"/>
    <mergeCell ref="A14:G14"/>
    <mergeCell ref="A15:G15"/>
    <mergeCell ref="A3:H4"/>
    <mergeCell ref="A5:G5"/>
    <mergeCell ref="A8:G8"/>
    <mergeCell ref="A11:G11"/>
    <mergeCell ref="A6:G6"/>
    <mergeCell ref="A7:G7"/>
    <mergeCell ref="A80:D80"/>
    <mergeCell ref="A81:D81"/>
    <mergeCell ref="A82:D82"/>
    <mergeCell ref="A62:E62"/>
    <mergeCell ref="A72:F72"/>
    <mergeCell ref="A63:E63"/>
    <mergeCell ref="A70:G70"/>
    <mergeCell ref="A68:F68"/>
    <mergeCell ref="A64:E64"/>
    <mergeCell ref="A69:F69"/>
    <mergeCell ref="A57:E57"/>
    <mergeCell ref="A47:D47"/>
    <mergeCell ref="A40:E40"/>
    <mergeCell ref="A41:D41"/>
    <mergeCell ref="A42:D42"/>
    <mergeCell ref="A43:D43"/>
    <mergeCell ref="A46:D46"/>
    <mergeCell ref="A73:I73"/>
    <mergeCell ref="A29:D29"/>
    <mergeCell ref="A30:D30"/>
    <mergeCell ref="A44:D44"/>
    <mergeCell ref="A49:E49"/>
    <mergeCell ref="A33:D33"/>
    <mergeCell ref="A32:D32"/>
    <mergeCell ref="A36:E36"/>
    <mergeCell ref="A48:D48"/>
    <mergeCell ref="A53:H53"/>
    <mergeCell ref="A50:E50"/>
    <mergeCell ref="A59:D59"/>
    <mergeCell ref="A54:I54"/>
    <mergeCell ref="A56:E56"/>
    <mergeCell ref="A51:F51"/>
    <mergeCell ref="H52:I52"/>
  </mergeCells>
  <phoneticPr fontId="0" type="noConversion"/>
  <hyperlinks>
    <hyperlink ref="A106" r:id="rId1"/>
  </hyperlinks>
  <pageMargins left="0.70866141732283472" right="0.55118110236220474" top="0.43307086614173229" bottom="0.98425196850393704" header="0.39370078740157483" footer="0.35433070866141736"/>
  <pageSetup paperSize="9" scale="74" orientation="portrait" horizontalDpi="300" verticalDpi="300" r:id="rId2"/>
  <headerFooter alignWithMargins="0">
    <oddFooter xml:space="preserve">&amp;R&amp;"Verdana,Negrito"&amp;6A2 OFFICE CONSULTORIA CONTÁBIL
&amp;"Verdana,Normal"- CONTABILIDADE PARA O TERCEIRO SETOR- 
sac@a2office.com.br 
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showGridLines="0" showZeros="0" workbookViewId="0">
      <selection activeCell="G26" sqref="G26"/>
    </sheetView>
  </sheetViews>
  <sheetFormatPr defaultColWidth="8" defaultRowHeight="15.75"/>
  <cols>
    <col min="5" max="5" width="13.125" customWidth="1"/>
    <col min="6" max="6" width="9.75" customWidth="1"/>
    <col min="7" max="7" width="14.75" customWidth="1"/>
    <col min="8" max="8" width="8" style="136"/>
    <col min="9" max="9" width="8" style="136" customWidth="1"/>
    <col min="10" max="12" width="8" style="136" hidden="1" customWidth="1"/>
    <col min="13" max="13" width="8" style="136" customWidth="1"/>
    <col min="14" max="14" width="19.75" style="136" customWidth="1"/>
    <col min="15" max="15" width="15.625" style="136" customWidth="1"/>
    <col min="16" max="16" width="15.25" style="136" customWidth="1"/>
    <col min="17" max="18" width="8" style="136" hidden="1" customWidth="1"/>
    <col min="19" max="19" width="8.625" style="136" bestFit="1" customWidth="1"/>
    <col min="20" max="20" width="3.875" style="136" customWidth="1"/>
    <col min="21" max="21" width="11.5" style="136" customWidth="1"/>
    <col min="22" max="22" width="12.25" style="136" customWidth="1"/>
    <col min="23" max="23" width="8.125" style="136" bestFit="1" customWidth="1"/>
    <col min="24" max="40" width="8" style="136"/>
  </cols>
  <sheetData>
    <row r="1" spans="2:18" s="78" customFormat="1">
      <c r="B1" s="295" t="s">
        <v>79</v>
      </c>
      <c r="C1" s="295"/>
      <c r="D1" s="295"/>
      <c r="E1" s="295"/>
      <c r="F1" s="295"/>
      <c r="G1" s="295"/>
      <c r="H1" s="79"/>
      <c r="I1" s="79"/>
    </row>
    <row r="2" spans="2:18" s="78" customFormat="1">
      <c r="B2" s="296" t="s">
        <v>80</v>
      </c>
      <c r="C2" s="296"/>
      <c r="D2" s="296"/>
      <c r="E2" s="296"/>
      <c r="F2" s="296"/>
      <c r="G2" s="296"/>
      <c r="H2" s="79"/>
      <c r="I2" s="79"/>
    </row>
    <row r="3" spans="2:18" s="80" customFormat="1" ht="24" customHeight="1">
      <c r="B3" s="297" t="s">
        <v>134</v>
      </c>
      <c r="C3" s="297"/>
      <c r="D3" s="297"/>
      <c r="E3" s="297"/>
      <c r="F3" s="297"/>
      <c r="G3" s="297"/>
      <c r="H3" s="81"/>
      <c r="I3" s="81"/>
    </row>
    <row r="4" spans="2:18" s="82" customFormat="1" ht="11.25">
      <c r="B4" s="83" t="s">
        <v>79</v>
      </c>
      <c r="C4" s="84"/>
      <c r="D4" s="84"/>
      <c r="E4" s="84"/>
      <c r="F4" s="84"/>
      <c r="G4" s="85"/>
    </row>
    <row r="5" spans="2:18" s="82" customFormat="1" ht="15">
      <c r="B5" s="86"/>
      <c r="C5" s="87"/>
      <c r="D5" s="87"/>
      <c r="E5" s="87"/>
      <c r="F5" s="87"/>
      <c r="G5" s="88"/>
      <c r="Q5" s="89" t="s">
        <v>81</v>
      </c>
    </row>
    <row r="6" spans="2:18" s="82" customFormat="1" ht="11.25">
      <c r="B6" s="90" t="s">
        <v>82</v>
      </c>
      <c r="C6" s="91">
        <v>1903.98</v>
      </c>
      <c r="D6" s="91"/>
      <c r="E6" s="91"/>
      <c r="F6" s="92" t="s">
        <v>83</v>
      </c>
      <c r="G6" s="93"/>
      <c r="Q6" s="94">
        <f>IF((G24-E16-E17-E19-E22-(E15*G12))&lt;=C6,C6,0)</f>
        <v>0</v>
      </c>
    </row>
    <row r="7" spans="2:18" s="82" customFormat="1" ht="11.25">
      <c r="B7" s="90" t="s">
        <v>84</v>
      </c>
      <c r="C7" s="91">
        <f>+C6+0.01</f>
        <v>1903.99</v>
      </c>
      <c r="D7" s="91" t="s">
        <v>85</v>
      </c>
      <c r="E7" s="91">
        <v>2826.65</v>
      </c>
      <c r="F7" s="95">
        <v>7.4999999999999997E-2</v>
      </c>
      <c r="G7" s="93">
        <v>142.80000000000001</v>
      </c>
      <c r="Q7" s="82">
        <f>IF(AND((G$24-E$16-E$17-E$19-E$22-(E$15*G$12))&gt;=C7,(G$24-E$16-E$17-E$19-E$22-(E$15*G$12))&lt;=E7),(G$24-E$16-E$17-E$19-E$22-(E$15*G$12)))</f>
        <v>2722.6</v>
      </c>
      <c r="R7" s="82">
        <f>IF(Q7=FALSE,0,((Q7*F7)-G7))</f>
        <v>61.394999999999982</v>
      </c>
    </row>
    <row r="8" spans="2:18" s="82" customFormat="1" ht="11.25">
      <c r="B8" s="90" t="s">
        <v>84</v>
      </c>
      <c r="C8" s="91">
        <f>+E7+0.01</f>
        <v>2826.6600000000003</v>
      </c>
      <c r="D8" s="91" t="s">
        <v>85</v>
      </c>
      <c r="E8" s="91">
        <v>3751.05</v>
      </c>
      <c r="F8" s="95">
        <v>0.15</v>
      </c>
      <c r="G8" s="93">
        <v>354.8</v>
      </c>
      <c r="Q8" s="82" t="b">
        <f>IF(AND((G$24-E$16-E$17-E$19-E$22-(E$15*G$12))&gt;=C8,(G$24-E$16-E$17-E$19-E$22-(E$15*G$12))&lt;=E8),(G$24-E$16-E$17-E$19-E$22-(E$15*G$12)))</f>
        <v>0</v>
      </c>
      <c r="R8" s="82">
        <f>IF(Q8=FALSE,0,((Q8*F8)-G8))</f>
        <v>0</v>
      </c>
    </row>
    <row r="9" spans="2:18" s="82" customFormat="1" ht="11.25">
      <c r="B9" s="90" t="s">
        <v>84</v>
      </c>
      <c r="C9" s="91">
        <f>+E8+0.01</f>
        <v>3751.0600000000004</v>
      </c>
      <c r="D9" s="91" t="s">
        <v>85</v>
      </c>
      <c r="E9" s="91">
        <v>4664.68</v>
      </c>
      <c r="F9" s="95">
        <v>0.22500000000000001</v>
      </c>
      <c r="G9" s="93">
        <v>636.13</v>
      </c>
      <c r="Q9" s="82" t="b">
        <f>IF(AND((G$24-E$16-E$17-E$19-E$22-(E$15*G$12))&gt;=C9,(G$24-E$16-E$17-E$19-E$22-(E$15*G$12))&lt;=E9),(G$24-E$16-E$17-E$19-E$22-(E$15*G$12)))</f>
        <v>0</v>
      </c>
      <c r="R9" s="82">
        <f>IF(Q9=FALSE,0,((Q9*F9)-G9))</f>
        <v>0</v>
      </c>
    </row>
    <row r="10" spans="2:18" s="82" customFormat="1" ht="11.25">
      <c r="B10" s="90" t="s">
        <v>84</v>
      </c>
      <c r="C10" s="91">
        <f>+E9+0.01</f>
        <v>4664.6900000000005</v>
      </c>
      <c r="D10" s="91" t="s">
        <v>85</v>
      </c>
      <c r="E10" s="96"/>
      <c r="F10" s="95">
        <v>0.27500000000000002</v>
      </c>
      <c r="G10" s="93">
        <v>869.36</v>
      </c>
      <c r="Q10" s="82">
        <f>IF((G$24-E$16-E$17-E$19-E$22-(E$15*G$12))&gt;=C10,(G$24-E$16-E$17-E$19-E$22-(E$15*G$12)),0)</f>
        <v>0</v>
      </c>
      <c r="R10" s="82">
        <f>IF(Q10=0,0,((Q10*F10)-G10))</f>
        <v>0</v>
      </c>
    </row>
    <row r="11" spans="2:18" s="82" customFormat="1" ht="7.5" customHeight="1">
      <c r="B11" s="97"/>
      <c r="C11" s="98"/>
      <c r="D11" s="98"/>
      <c r="E11" s="99"/>
      <c r="F11" s="100"/>
      <c r="G11" s="101"/>
    </row>
    <row r="12" spans="2:18" s="82" customFormat="1" ht="11.25">
      <c r="B12" s="90"/>
      <c r="C12" s="91"/>
      <c r="D12" s="91"/>
      <c r="E12" s="102" t="s">
        <v>86</v>
      </c>
      <c r="F12" s="102"/>
      <c r="G12" s="93">
        <v>189.59</v>
      </c>
    </row>
    <row r="13" spans="2:18" s="82" customFormat="1" ht="8.25" customHeight="1">
      <c r="B13" s="298" t="s">
        <v>87</v>
      </c>
      <c r="C13" s="298"/>
      <c r="D13" s="298"/>
    </row>
    <row r="14" spans="2:18" s="78" customFormat="1" ht="15">
      <c r="B14" s="298"/>
      <c r="C14" s="298"/>
      <c r="D14" s="298"/>
      <c r="E14" s="103">
        <v>405.86</v>
      </c>
      <c r="F14" s="104"/>
      <c r="G14" s="105" t="s">
        <v>88</v>
      </c>
    </row>
    <row r="15" spans="2:18" s="78" customFormat="1">
      <c r="B15" s="106" t="s">
        <v>89</v>
      </c>
      <c r="C15" s="106"/>
      <c r="D15" s="104"/>
      <c r="E15" s="107">
        <v>0</v>
      </c>
      <c r="F15" s="108"/>
      <c r="G15" s="109">
        <f>CUSTOS!$H$8</f>
        <v>3000</v>
      </c>
      <c r="I15" s="110"/>
      <c r="R15" s="78">
        <f>+E15*G12</f>
        <v>0</v>
      </c>
    </row>
    <row r="16" spans="2:18" s="78" customFormat="1">
      <c r="B16" s="111" t="s">
        <v>90</v>
      </c>
      <c r="C16" s="106"/>
      <c r="E16" s="112">
        <f>SUM(X40:X44)</f>
        <v>277.39999999999998</v>
      </c>
      <c r="F16" s="108"/>
      <c r="G16" s="113"/>
    </row>
    <row r="17" spans="2:19" s="78" customFormat="1">
      <c r="B17" s="114" t="s">
        <v>91</v>
      </c>
      <c r="C17" s="106"/>
      <c r="E17" s="112"/>
      <c r="F17" s="108"/>
      <c r="G17" s="113"/>
    </row>
    <row r="18" spans="2:19" s="78" customFormat="1" ht="15" customHeight="1">
      <c r="B18" s="299" t="s">
        <v>92</v>
      </c>
      <c r="C18" s="299"/>
      <c r="D18" s="299"/>
      <c r="E18" s="108"/>
      <c r="F18" s="108"/>
      <c r="G18" s="113">
        <v>0</v>
      </c>
      <c r="R18" s="78" t="s">
        <v>93</v>
      </c>
    </row>
    <row r="19" spans="2:19" s="78" customFormat="1">
      <c r="B19" s="299"/>
      <c r="C19" s="299"/>
      <c r="D19" s="299"/>
      <c r="E19" s="115"/>
      <c r="F19" s="108"/>
      <c r="G19" s="113">
        <v>0</v>
      </c>
      <c r="R19" s="116">
        <v>3582.01</v>
      </c>
      <c r="S19" s="116"/>
    </row>
    <row r="20" spans="2:19" s="78" customFormat="1" ht="15.75" customHeight="1">
      <c r="B20" s="298" t="s">
        <v>94</v>
      </c>
      <c r="C20" s="298"/>
      <c r="D20" s="298"/>
      <c r="E20" s="300">
        <v>0</v>
      </c>
      <c r="F20" s="108"/>
      <c r="G20" s="113">
        <v>0</v>
      </c>
      <c r="I20" s="104"/>
    </row>
    <row r="21" spans="2:19" s="78" customFormat="1" ht="15.75" customHeight="1">
      <c r="B21" s="298"/>
      <c r="C21" s="298"/>
      <c r="D21" s="298"/>
      <c r="E21" s="301"/>
      <c r="F21" s="108"/>
      <c r="G21" s="113">
        <v>0</v>
      </c>
      <c r="I21" s="110"/>
    </row>
    <row r="22" spans="2:19" s="80" customFormat="1" ht="15.75" customHeight="1">
      <c r="B22" s="305" t="s">
        <v>95</v>
      </c>
      <c r="C22" s="305"/>
      <c r="D22" s="117"/>
      <c r="E22" s="118">
        <f>IF(E20&gt;0,0.12*F51,0)</f>
        <v>0</v>
      </c>
      <c r="F22" s="119"/>
      <c r="G22" s="120"/>
      <c r="I22" s="121"/>
    </row>
    <row r="23" spans="2:19" s="82" customFormat="1" ht="6.75" customHeight="1">
      <c r="E23" s="122">
        <f>IF(E20&gt;E22,E22,E20)</f>
        <v>0</v>
      </c>
      <c r="I23" s="123"/>
    </row>
    <row r="24" spans="2:19" s="78" customFormat="1" ht="18">
      <c r="E24" s="124" t="s">
        <v>96</v>
      </c>
      <c r="F24" s="125"/>
      <c r="G24" s="126">
        <f>SUM(G15:G23)-E19-E23</f>
        <v>3000</v>
      </c>
      <c r="I24" s="104"/>
      <c r="R24" s="80"/>
      <c r="S24" s="80"/>
    </row>
    <row r="25" spans="2:19" s="78" customFormat="1" ht="9" customHeight="1">
      <c r="I25" s="127"/>
      <c r="R25" s="128">
        <f>SUM(R7:R10)</f>
        <v>61.394999999999982</v>
      </c>
      <c r="S25" s="128"/>
    </row>
    <row r="26" spans="2:19" s="78" customFormat="1" ht="18">
      <c r="E26" s="129" t="s">
        <v>97</v>
      </c>
      <c r="F26" s="130"/>
      <c r="G26" s="131">
        <f>IF((R24+R25)&gt;9.99,(R24+R25),0)</f>
        <v>61.394999999999982</v>
      </c>
      <c r="I26" s="127"/>
    </row>
    <row r="27" spans="2:19" s="80" customFormat="1" ht="12" customHeight="1">
      <c r="E27" s="310" t="s">
        <v>98</v>
      </c>
      <c r="F27" s="310"/>
      <c r="G27" s="310"/>
      <c r="I27" s="132"/>
    </row>
    <row r="28" spans="2:19" s="80" customFormat="1" ht="11.25" customHeight="1">
      <c r="E28" s="133"/>
      <c r="G28" s="134"/>
      <c r="I28" s="132"/>
    </row>
    <row r="29" spans="2:19" s="80" customFormat="1" ht="12" customHeight="1">
      <c r="B29" s="311"/>
      <c r="C29" s="311"/>
      <c r="D29" s="311"/>
      <c r="E29" s="311"/>
      <c r="F29" s="311"/>
      <c r="G29" s="311"/>
      <c r="I29" s="132"/>
    </row>
    <row r="30" spans="2:19" s="78" customFormat="1" ht="12.75"/>
    <row r="31" spans="2:19" s="78" customFormat="1" ht="12.75">
      <c r="B31" s="293" t="s">
        <v>99</v>
      </c>
      <c r="C31" s="293"/>
      <c r="D31" s="293"/>
      <c r="E31" s="293"/>
      <c r="F31" s="293"/>
      <c r="G31" s="293"/>
      <c r="H31" s="293"/>
    </row>
    <row r="32" spans="2:19" s="78" customFormat="1" ht="12.75">
      <c r="B32" s="293" t="s">
        <v>100</v>
      </c>
      <c r="C32" s="293"/>
      <c r="D32" s="293"/>
      <c r="E32" s="293"/>
      <c r="F32" s="293"/>
      <c r="G32" s="293"/>
      <c r="H32" s="293"/>
    </row>
    <row r="33" spans="1:25" s="78" customFormat="1" ht="12.75"/>
    <row r="34" spans="1:25" ht="23.25">
      <c r="A34" s="135"/>
      <c r="B34" s="78"/>
      <c r="C34" s="78"/>
      <c r="D34" s="78"/>
      <c r="E34" s="78"/>
      <c r="F34" s="78"/>
      <c r="G34" s="78"/>
      <c r="H34" s="78"/>
      <c r="I34" s="78"/>
      <c r="M34" s="137"/>
      <c r="N34" s="138"/>
      <c r="O34" s="139"/>
      <c r="P34" s="139"/>
      <c r="Q34" s="137"/>
    </row>
    <row r="35" spans="1:25" ht="23.25">
      <c r="B35" s="307" t="s">
        <v>101</v>
      </c>
      <c r="C35" s="307"/>
      <c r="D35" s="307"/>
      <c r="E35" s="307"/>
      <c r="F35" s="307"/>
      <c r="G35" s="140">
        <f>G24-G26-E16</f>
        <v>2661.2049999999999</v>
      </c>
      <c r="H35" s="78"/>
      <c r="I35" s="78"/>
      <c r="M35" s="137"/>
      <c r="N35" s="146"/>
      <c r="O35" s="146"/>
      <c r="P35" s="147"/>
      <c r="Q35" s="148"/>
      <c r="R35" s="149"/>
      <c r="S35" s="149"/>
      <c r="T35" s="149"/>
      <c r="U35" s="149"/>
    </row>
    <row r="36" spans="1:25" ht="23.25">
      <c r="A36" s="142"/>
      <c r="B36" s="78"/>
      <c r="C36" s="78"/>
      <c r="D36" s="78"/>
      <c r="E36" s="78"/>
      <c r="F36" s="78"/>
      <c r="G36" s="78"/>
      <c r="H36" s="78"/>
      <c r="I36" s="78"/>
      <c r="M36" s="137"/>
      <c r="N36" s="150"/>
      <c r="O36" s="150"/>
      <c r="P36" s="151"/>
      <c r="Q36" s="148"/>
      <c r="R36" s="149"/>
      <c r="S36" s="149"/>
      <c r="T36" s="149"/>
      <c r="U36" s="149"/>
    </row>
    <row r="37" spans="1:25" ht="23.25">
      <c r="M37" s="137"/>
      <c r="N37" s="152"/>
      <c r="O37" s="153"/>
      <c r="P37" s="151"/>
      <c r="Q37" s="148"/>
      <c r="R37" s="149"/>
      <c r="S37" s="149"/>
      <c r="T37" s="149"/>
      <c r="U37" s="149"/>
    </row>
    <row r="38" spans="1:25" ht="23.25">
      <c r="E38" s="143"/>
      <c r="F38" s="143"/>
      <c r="G38" s="143"/>
      <c r="H38" s="143"/>
      <c r="I38" s="143"/>
      <c r="J38" s="143"/>
      <c r="K38" s="143"/>
      <c r="L38" s="143"/>
      <c r="M38" s="144"/>
      <c r="N38" s="137"/>
      <c r="O38" s="308" t="s">
        <v>132</v>
      </c>
      <c r="P38" s="309"/>
      <c r="Q38" s="154"/>
      <c r="R38" s="141"/>
      <c r="S38" s="141"/>
      <c r="T38"/>
      <c r="U38" s="306"/>
      <c r="V38" s="306"/>
      <c r="X38" s="143"/>
      <c r="Y38" s="143"/>
    </row>
    <row r="39" spans="1:25" ht="23.25">
      <c r="E39" s="143"/>
      <c r="F39" s="143"/>
      <c r="G39" s="143"/>
      <c r="H39" s="143"/>
      <c r="I39" s="143"/>
      <c r="J39" s="143"/>
      <c r="K39" s="143"/>
      <c r="L39" s="143"/>
      <c r="M39" s="144"/>
      <c r="N39" s="137"/>
      <c r="O39" s="177" t="s">
        <v>102</v>
      </c>
      <c r="P39" s="302" t="s">
        <v>103</v>
      </c>
      <c r="Q39" s="302"/>
      <c r="R39" s="302"/>
      <c r="S39" s="302"/>
      <c r="T39" s="302"/>
      <c r="U39" s="302"/>
      <c r="V39" s="302"/>
      <c r="W39" s="302"/>
      <c r="X39" s="179"/>
      <c r="Y39" s="143"/>
    </row>
    <row r="40" spans="1:25" ht="23.25">
      <c r="E40" s="143"/>
      <c r="F40" s="143"/>
      <c r="G40" s="143"/>
      <c r="H40" s="143"/>
      <c r="I40" s="143"/>
      <c r="J40" s="143"/>
      <c r="K40" s="143"/>
      <c r="L40" s="143"/>
      <c r="M40" s="144"/>
      <c r="N40" s="137"/>
      <c r="O40" s="180">
        <v>1100</v>
      </c>
      <c r="P40" s="182">
        <v>7.4999999999999997E-2</v>
      </c>
      <c r="Q40" s="182">
        <v>7.4999999999999997E-2</v>
      </c>
      <c r="R40" s="182">
        <v>7.4999999999999997E-2</v>
      </c>
      <c r="S40" s="191" t="s">
        <v>133</v>
      </c>
      <c r="T40" s="209"/>
      <c r="U40" s="210"/>
      <c r="V40" s="211"/>
      <c r="W40" s="206">
        <f>IF(G15&lt;=1100,P40*G15,0)</f>
        <v>0</v>
      </c>
      <c r="X40" s="183"/>
      <c r="Y40" s="143"/>
    </row>
    <row r="41" spans="1:25" ht="23.25">
      <c r="E41" s="143"/>
      <c r="F41" s="143"/>
      <c r="G41" s="143"/>
      <c r="H41" s="143"/>
      <c r="I41" s="143"/>
      <c r="J41" s="143"/>
      <c r="K41" s="143"/>
      <c r="L41" s="143"/>
      <c r="M41" s="144"/>
      <c r="N41" s="137"/>
      <c r="O41" s="184">
        <v>2203.48</v>
      </c>
      <c r="P41" s="185">
        <v>0.09</v>
      </c>
      <c r="Q41" s="186"/>
      <c r="R41" s="187"/>
      <c r="S41" s="205">
        <v>16.5</v>
      </c>
      <c r="T41" s="212"/>
      <c r="U41" s="193"/>
      <c r="V41" s="213"/>
      <c r="W41" s="207">
        <f>IF(AND(G15&gt;1100,G15&lt;2203.49),G15*P41-16.5,0)</f>
        <v>0</v>
      </c>
      <c r="X41" s="188"/>
      <c r="Y41" s="143"/>
    </row>
    <row r="42" spans="1:25" ht="23.25">
      <c r="E42" s="143"/>
      <c r="F42" s="143"/>
      <c r="G42" s="143"/>
      <c r="H42" s="143"/>
      <c r="I42" s="143"/>
      <c r="J42" s="143"/>
      <c r="K42" s="143"/>
      <c r="L42" s="143"/>
      <c r="M42" s="144"/>
      <c r="N42" s="137"/>
      <c r="O42" s="180">
        <v>3305.22</v>
      </c>
      <c r="P42" s="181">
        <v>0.12</v>
      </c>
      <c r="Q42" s="189"/>
      <c r="R42" s="190"/>
      <c r="S42" s="205">
        <v>82.6</v>
      </c>
      <c r="T42" s="214"/>
      <c r="U42" s="192"/>
      <c r="V42" s="215"/>
      <c r="W42" s="208">
        <f>IF(AND(G15&gt;2203.48,G15&lt;3305.23),G15*12%-82.6,0)</f>
        <v>277.39999999999998</v>
      </c>
      <c r="X42" s="188"/>
      <c r="Y42" s="143"/>
    </row>
    <row r="43" spans="1:25" ht="23.25">
      <c r="E43" s="143"/>
      <c r="F43" s="143"/>
      <c r="G43" s="143"/>
      <c r="H43" s="143"/>
      <c r="I43" s="143"/>
      <c r="J43" s="143"/>
      <c r="K43" s="143"/>
      <c r="L43" s="143"/>
      <c r="M43" s="144"/>
      <c r="N43" s="137"/>
      <c r="O43" s="201">
        <v>6433.57</v>
      </c>
      <c r="P43" s="202">
        <v>0.14000000000000001</v>
      </c>
      <c r="Q43" s="186"/>
      <c r="R43" s="178"/>
      <c r="S43" s="203">
        <v>148.71</v>
      </c>
      <c r="T43" s="216"/>
      <c r="U43" s="194"/>
      <c r="V43" s="217"/>
      <c r="W43" s="204">
        <f>IF(AND(G15&gt;3305.22,G15&lt;6433.41),G15*P43-S43,0)</f>
        <v>0</v>
      </c>
      <c r="Y43" s="143"/>
    </row>
    <row r="44" spans="1:25" ht="23.25">
      <c r="E44" s="143"/>
      <c r="F44" s="143"/>
      <c r="G44" s="143"/>
      <c r="H44" s="143"/>
      <c r="I44" s="143"/>
      <c r="J44" s="143"/>
      <c r="K44" s="143"/>
      <c r="L44" s="143"/>
      <c r="M44" s="144"/>
      <c r="N44" s="137"/>
      <c r="O44" s="303" t="s">
        <v>135</v>
      </c>
      <c r="P44" s="303"/>
      <c r="Q44" s="303"/>
      <c r="R44" s="303"/>
      <c r="S44" s="304"/>
      <c r="T44" s="196"/>
      <c r="U44" s="197"/>
      <c r="V44" s="198"/>
      <c r="W44" s="218">
        <f>IF(G15&gt;6433.4,"751,97",0)</f>
        <v>0</v>
      </c>
      <c r="X44" s="195">
        <f>SUM(W40:W44)</f>
        <v>277.39999999999998</v>
      </c>
      <c r="Y44" s="143"/>
    </row>
    <row r="45" spans="1:25" ht="20.25">
      <c r="E45" s="143"/>
      <c r="F45" s="143"/>
      <c r="G45" s="143"/>
      <c r="H45" s="143"/>
      <c r="I45" s="143"/>
      <c r="J45" s="143"/>
      <c r="K45" s="143"/>
      <c r="L45" s="143"/>
      <c r="M45" s="144"/>
      <c r="N45" s="137"/>
      <c r="O45" s="294" t="s">
        <v>105</v>
      </c>
      <c r="P45" s="294"/>
      <c r="Q45" s="155"/>
      <c r="R45" s="156"/>
      <c r="S45" s="156"/>
      <c r="T45"/>
      <c r="U45"/>
      <c r="V45" s="143"/>
      <c r="W45" s="159"/>
      <c r="X45" s="143"/>
      <c r="Y45" s="143"/>
    </row>
    <row r="46" spans="1:25">
      <c r="E46" s="143"/>
      <c r="F46" s="143"/>
      <c r="G46" s="143"/>
      <c r="H46" s="143"/>
      <c r="I46" s="143"/>
      <c r="J46" s="143"/>
      <c r="K46" s="143"/>
      <c r="L46" s="143"/>
      <c r="M46" s="144"/>
      <c r="N46" s="137"/>
      <c r="O46" s="145"/>
      <c r="P46" s="145"/>
      <c r="Q46" s="148"/>
      <c r="R46" s="148"/>
      <c r="S46" s="148"/>
      <c r="T46"/>
      <c r="U46"/>
      <c r="V46" s="143"/>
      <c r="W46" s="143"/>
      <c r="X46" s="143"/>
      <c r="Y46" s="143"/>
    </row>
    <row r="47" spans="1:25" ht="23.25">
      <c r="E47" s="143"/>
      <c r="F47" s="143"/>
      <c r="G47" s="143"/>
      <c r="H47" s="143"/>
      <c r="I47" s="143"/>
      <c r="J47" s="143"/>
      <c r="K47" s="143"/>
      <c r="L47" s="143"/>
      <c r="M47" s="144"/>
      <c r="N47" s="137"/>
      <c r="O47" s="291" t="s">
        <v>104</v>
      </c>
      <c r="P47" s="292"/>
      <c r="Q47" s="148"/>
      <c r="R47" s="145"/>
      <c r="S47" s="145"/>
      <c r="T47"/>
      <c r="U47"/>
      <c r="V47" s="143"/>
      <c r="W47" s="143"/>
      <c r="X47" s="143"/>
      <c r="Y47" s="143"/>
    </row>
    <row r="48" spans="1:25" ht="23.25">
      <c r="E48" s="143"/>
      <c r="F48" s="143"/>
      <c r="G48" s="143"/>
      <c r="H48" s="143"/>
      <c r="I48" s="143"/>
      <c r="J48" s="143"/>
      <c r="K48" s="143"/>
      <c r="L48" s="143"/>
      <c r="M48" s="144"/>
      <c r="N48" s="137"/>
      <c r="O48" s="177" t="s">
        <v>102</v>
      </c>
      <c r="P48" s="177" t="s">
        <v>103</v>
      </c>
      <c r="Q48" s="145"/>
      <c r="R48" s="145"/>
      <c r="S48" s="145"/>
      <c r="T48"/>
      <c r="U48"/>
      <c r="V48" s="143"/>
      <c r="W48" s="143"/>
      <c r="X48" s="143"/>
      <c r="Y48" s="143"/>
    </row>
    <row r="49" spans="5:25" ht="23.25">
      <c r="E49" s="143"/>
      <c r="F49" s="143"/>
      <c r="G49" s="143"/>
      <c r="H49" s="143"/>
      <c r="I49" s="143"/>
      <c r="J49" s="143"/>
      <c r="K49" s="143"/>
      <c r="L49" s="143"/>
      <c r="M49" s="144"/>
      <c r="N49" s="137"/>
      <c r="O49" s="199">
        <v>1503.25</v>
      </c>
      <c r="P49" s="200">
        <v>51.27</v>
      </c>
      <c r="Q49" s="157"/>
      <c r="R49" s="145"/>
      <c r="S49" s="145"/>
      <c r="T49"/>
      <c r="U49"/>
      <c r="V49" s="143"/>
      <c r="W49" s="143"/>
      <c r="X49" s="143"/>
      <c r="Y49" s="143"/>
    </row>
    <row r="50" spans="5:25" ht="23.25">
      <c r="M50" s="137"/>
      <c r="N50" s="137"/>
      <c r="O50" s="174"/>
      <c r="P50" s="175"/>
      <c r="Q50" s="157"/>
      <c r="R50" s="145"/>
      <c r="S50" s="145"/>
      <c r="T50"/>
      <c r="U50"/>
    </row>
    <row r="51" spans="5:25">
      <c r="N51" s="137"/>
      <c r="O51" s="158"/>
      <c r="P51" s="157"/>
      <c r="Q51" s="157"/>
      <c r="R51" s="145"/>
      <c r="S51" s="145"/>
      <c r="T51"/>
      <c r="U51"/>
    </row>
  </sheetData>
  <sheetProtection sheet="1"/>
  <mergeCells count="19">
    <mergeCell ref="E27:G27"/>
    <mergeCell ref="B29:G29"/>
    <mergeCell ref="B31:H31"/>
    <mergeCell ref="O47:P47"/>
    <mergeCell ref="B32:H32"/>
    <mergeCell ref="O45:P45"/>
    <mergeCell ref="B1:G1"/>
    <mergeCell ref="B2:G2"/>
    <mergeCell ref="B3:G3"/>
    <mergeCell ref="B13:D14"/>
    <mergeCell ref="B18:D19"/>
    <mergeCell ref="B20:D21"/>
    <mergeCell ref="E20:E21"/>
    <mergeCell ref="P39:W39"/>
    <mergeCell ref="O44:S44"/>
    <mergeCell ref="B22:C22"/>
    <mergeCell ref="U38:V38"/>
    <mergeCell ref="B35:F35"/>
    <mergeCell ref="O38:P3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</vt:lpstr>
      <vt:lpstr>Plan1</vt:lpstr>
      <vt:lpstr>CUSTOS!Area_de_impressao</vt:lpstr>
    </vt:vector>
  </TitlesOfParts>
  <Company>RB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A2</cp:lastModifiedBy>
  <cp:lastPrinted>2010-09-30T02:00:56Z</cp:lastPrinted>
  <dcterms:created xsi:type="dcterms:W3CDTF">2002-09-30T20:52:50Z</dcterms:created>
  <dcterms:modified xsi:type="dcterms:W3CDTF">2021-09-23T12:30:41Z</dcterms:modified>
</cp:coreProperties>
</file>